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4"/>
  <workbookPr codeName="Denne_projektmappe" defaultThemeVersion="166925"/>
  <mc:AlternateContent xmlns:mc="http://schemas.openxmlformats.org/markup-compatibility/2006">
    <mc:Choice Requires="x15">
      <x15ac:absPath xmlns:x15ac="http://schemas.microsoft.com/office/spreadsheetml/2010/11/ac" url="/Users/mikkeldamkiaer/Production Service Dropbox/Mikkel Damkiær/Production Service NY/Producentforeningen/Lønberegner/"/>
    </mc:Choice>
  </mc:AlternateContent>
  <xr:revisionPtr revIDLastSave="0" documentId="13_ncr:1_{051B066F-B448-8D47-BDE1-A13C268287ED}" xr6:coauthVersionLast="47" xr6:coauthVersionMax="47" xr10:uidLastSave="{00000000-0000-0000-0000-000000000000}"/>
  <bookViews>
    <workbookView xWindow="2500" yWindow="680" windowWidth="23360" windowHeight="14840" activeTab="1" xr2:uid="{18FB4660-9B91-F442-AA95-62A68AF1D59F}"/>
  </bookViews>
  <sheets>
    <sheet name="Datasheet" sheetId="1" state="hidden" r:id="rId1"/>
    <sheet name="Lønberegner" sheetId="2" r:id="rId2"/>
  </sheets>
  <definedNames>
    <definedName name="grundløn">Lønberegner!$T$8</definedName>
    <definedName name="_xlnm.Print_Area" localSheetId="1">Lønberegner!$A$1:$Y$50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1" l="1"/>
  <c r="D2" i="1" s="1"/>
  <c r="B37" i="1" s="1" a="1"/>
  <c r="B37" i="1" s="1"/>
  <c r="B20" i="2"/>
  <c r="B25" i="2"/>
  <c r="C25" i="2" s="1"/>
  <c r="M26" i="2" s="1" a="1"/>
  <c r="M26" i="2" s="1"/>
  <c r="B30" i="2"/>
  <c r="C30" i="2" s="1"/>
  <c r="B35" i="2"/>
  <c r="C35" i="2" s="1"/>
  <c r="M36" i="2" s="1" a="1"/>
  <c r="M36" i="2" s="1"/>
  <c r="B40" i="2"/>
  <c r="B45" i="2" s="1"/>
  <c r="C45" i="2" s="1"/>
  <c r="U46" i="2"/>
  <c r="G45" i="2" a="1"/>
  <c r="G45" i="2" s="1"/>
  <c r="U41" i="2"/>
  <c r="G40" i="2" a="1"/>
  <c r="G40" i="2" s="1"/>
  <c r="U36" i="2"/>
  <c r="G35" i="2" a="1"/>
  <c r="G35" i="2" s="1"/>
  <c r="U31" i="2"/>
  <c r="G30" i="2" a="1"/>
  <c r="G30" i="2" s="1"/>
  <c r="U26" i="2"/>
  <c r="G25" i="2" a="1"/>
  <c r="G25" i="2" s="1"/>
  <c r="U21" i="2"/>
  <c r="G20" i="2" a="1"/>
  <c r="G20" i="2" s="1"/>
  <c r="L20" i="2" s="1"/>
  <c r="C20" i="2"/>
  <c r="M21" i="2" s="1" a="1"/>
  <c r="M21" i="2" s="1"/>
  <c r="U16" i="2"/>
  <c r="J20" i="2"/>
  <c r="I20" i="2"/>
  <c r="C15" i="2"/>
  <c r="M16" i="2" s="1" a="1"/>
  <c r="M16" i="2" s="1"/>
  <c r="G15" i="2" a="1"/>
  <c r="G15" i="2" s="1"/>
  <c r="C12" i="2"/>
  <c r="E49" i="1"/>
  <c r="F49" i="1"/>
  <c r="E37" i="1"/>
  <c r="F37" i="1"/>
  <c r="E23" i="1"/>
  <c r="F23" i="1"/>
  <c r="E12" i="1"/>
  <c r="F12" i="1"/>
  <c r="W50" i="2"/>
  <c r="K20" i="2" l="1"/>
  <c r="C40" i="2"/>
  <c r="M46" i="2" a="1"/>
  <c r="M46" i="2" s="1"/>
  <c r="L40" i="2"/>
  <c r="I40" i="2"/>
  <c r="M41" i="2" a="1"/>
  <c r="M41" i="2" s="1"/>
  <c r="J40" i="2"/>
  <c r="K40" i="2"/>
  <c r="J30" i="2"/>
  <c r="L30" i="2"/>
  <c r="K30" i="2"/>
  <c r="M31" i="2" a="1"/>
  <c r="M31" i="2" s="1"/>
  <c r="K15" i="2"/>
  <c r="L15" i="2"/>
  <c r="B49" i="1" a="1"/>
  <c r="B49" i="1" s="1"/>
  <c r="B12" i="1" a="1"/>
  <c r="B12" i="1" s="1"/>
  <c r="B23" i="1" a="1"/>
  <c r="B23" i="1" s="1"/>
  <c r="T4" i="2" s="1" a="1"/>
  <c r="T4" i="2" s="1"/>
  <c r="H20" i="2" l="1" a="1"/>
  <c r="H20" i="2" s="1"/>
  <c r="T8" i="2"/>
  <c r="T50" i="2" s="1"/>
  <c r="P21" i="2"/>
  <c r="P22" i="2" s="1"/>
  <c r="P23" i="2" s="1"/>
  <c r="P41" i="2"/>
  <c r="P42" i="2" s="1"/>
  <c r="P43" i="2" s="1"/>
  <c r="R16" i="2" a="1"/>
  <c r="R16" i="2" s="1"/>
  <c r="Q17" i="2" a="1"/>
  <c r="Q17" i="2" s="1"/>
  <c r="J46" i="2" a="1"/>
  <c r="J46" i="2" s="1"/>
  <c r="K41" i="2" a="1"/>
  <c r="K41" i="2" s="1"/>
  <c r="I31" i="2" a="1"/>
  <c r="I31" i="2" s="1"/>
  <c r="H25" i="2" a="1"/>
  <c r="H25" i="2" s="1"/>
  <c r="L25" i="2" s="1"/>
  <c r="I21" i="2" a="1"/>
  <c r="I21" i="2" s="1"/>
  <c r="I22" i="2" s="1" a="1"/>
  <c r="I22" i="2" s="1"/>
  <c r="R27" i="2" a="1"/>
  <c r="R27" i="2" s="1"/>
  <c r="S21" i="2" a="1"/>
  <c r="S21" i="2" s="1"/>
  <c r="Q37" i="2" a="1"/>
  <c r="Q37" i="2" s="1"/>
  <c r="K31" i="2" a="1"/>
  <c r="K31" i="2" s="1"/>
  <c r="O47" i="2"/>
  <c r="O48" i="2" s="1"/>
  <c r="H36" i="2"/>
  <c r="O26" i="2"/>
  <c r="H16" i="2"/>
  <c r="O16" i="2"/>
  <c r="H27" i="2" a="1"/>
  <c r="H27" i="2" s="1"/>
  <c r="M27" i="2" s="1"/>
  <c r="M28" i="2" s="1"/>
  <c r="S17" i="2" a="1"/>
  <c r="S17" i="2" s="1"/>
  <c r="Q42" i="2" a="1"/>
  <c r="Q42" i="2" s="1"/>
  <c r="R37" i="2" a="1"/>
  <c r="R37" i="2" s="1"/>
  <c r="S31" i="2" a="1"/>
  <c r="S31" i="2" s="1"/>
  <c r="J21" i="2" a="1"/>
  <c r="J21" i="2" s="1"/>
  <c r="J22" i="2" s="1" a="1"/>
  <c r="J22" i="2" s="1"/>
  <c r="R46" i="2" a="1"/>
  <c r="R46" i="2" s="1"/>
  <c r="L41" i="2" a="1"/>
  <c r="L41" i="2" s="1"/>
  <c r="L42" i="2" s="1" a="1"/>
  <c r="L42" i="2" s="1"/>
  <c r="L43" i="2" s="1"/>
  <c r="Q31" i="2" a="1"/>
  <c r="Q31" i="2" s="1"/>
  <c r="J16" i="2" a="1"/>
  <c r="J16" i="2" s="1"/>
  <c r="J17" i="2" s="1" a="1"/>
  <c r="J17" i="2" s="1"/>
  <c r="P36" i="2"/>
  <c r="P37" i="2" s="1"/>
  <c r="P38" i="2" s="1"/>
  <c r="S46" i="2" a="1"/>
  <c r="S46" i="2" s="1"/>
  <c r="Q47" i="2" a="1"/>
  <c r="Q47" i="2" s="1"/>
  <c r="R41" i="2" a="1"/>
  <c r="R41" i="2" s="1"/>
  <c r="Q27" i="2" a="1"/>
  <c r="Q27" i="2" s="1"/>
  <c r="T17" i="2" a="1"/>
  <c r="T17" i="2" s="1"/>
  <c r="H35" i="2" a="1"/>
  <c r="H35" i="2" s="1"/>
  <c r="H15" i="2" a="1"/>
  <c r="H15" i="2" s="1"/>
  <c r="H46" i="2"/>
  <c r="N41" i="2"/>
  <c r="N31" i="2"/>
  <c r="N26" i="2"/>
  <c r="N21" i="2"/>
  <c r="T16" i="2" a="1"/>
  <c r="T16" i="2" s="1"/>
  <c r="R21" i="2" a="1"/>
  <c r="R21" i="2" s="1"/>
  <c r="I46" i="2" a="1"/>
  <c r="I46" i="2" s="1"/>
  <c r="I47" i="2" s="1" a="1"/>
  <c r="I47" i="2" s="1"/>
  <c r="R36" i="2" a="1"/>
  <c r="R36" i="2" s="1"/>
  <c r="I26" i="2" a="1"/>
  <c r="I26" i="2" s="1"/>
  <c r="L46" i="2" a="1"/>
  <c r="L46" i="2" s="1"/>
  <c r="K46" i="2" a="1"/>
  <c r="K46" i="2" s="1"/>
  <c r="K47" i="2" s="1" a="1"/>
  <c r="K47" i="2" s="1"/>
  <c r="I36" i="2" a="1"/>
  <c r="I36" i="2" s="1"/>
  <c r="I37" i="2" s="1" a="1"/>
  <c r="I37" i="2" s="1"/>
  <c r="H41" i="2"/>
  <c r="N36" i="2"/>
  <c r="H31" i="2"/>
  <c r="H26" i="2"/>
  <c r="R32" i="2" a="1"/>
  <c r="R32" i="2" s="1"/>
  <c r="Q46" i="2" a="1"/>
  <c r="Q46" i="2" s="1"/>
  <c r="S37" i="2" a="1"/>
  <c r="S37" i="2" s="1"/>
  <c r="Q26" i="2" a="1"/>
  <c r="Q26" i="2" s="1"/>
  <c r="R26" i="2" a="1"/>
  <c r="R26" i="2" s="1"/>
  <c r="I16" i="2" a="1"/>
  <c r="I16" i="2" s="1"/>
  <c r="I17" i="2" s="1" a="1"/>
  <c r="I17" i="2" s="1"/>
  <c r="R31" i="2" a="1"/>
  <c r="R31" i="2" s="1"/>
  <c r="N46" i="2"/>
  <c r="O41" i="2"/>
  <c r="O36" i="2"/>
  <c r="P31" i="2"/>
  <c r="P32" i="2" s="1"/>
  <c r="P33" i="2" s="1"/>
  <c r="O27" i="2"/>
  <c r="O28" i="2" s="1"/>
  <c r="K21" i="2" a="1"/>
  <c r="K21" i="2" s="1"/>
  <c r="K22" i="2" s="1" a="1"/>
  <c r="K22" i="2" s="1"/>
  <c r="Q41" i="2" a="1"/>
  <c r="Q41" i="2" s="1"/>
  <c r="K36" i="2" a="1"/>
  <c r="K36" i="2" s="1"/>
  <c r="K37" i="2" s="1" a="1"/>
  <c r="K37" i="2" s="1"/>
  <c r="Q22" i="2" a="1"/>
  <c r="Q22" i="2" s="1"/>
  <c r="Q36" i="2" a="1"/>
  <c r="Q36" i="2" s="1"/>
  <c r="S42" i="2" a="1"/>
  <c r="S42" i="2" s="1"/>
  <c r="Q32" i="2" a="1"/>
  <c r="Q32" i="2" s="1"/>
  <c r="O31" i="2"/>
  <c r="Q21" i="2" a="1"/>
  <c r="Q21" i="2" s="1"/>
  <c r="S26" i="2" a="1"/>
  <c r="S26" i="2" s="1"/>
  <c r="H45" i="2" a="1"/>
  <c r="H45" i="2" s="1"/>
  <c r="S36" i="2" a="1"/>
  <c r="S36" i="2" s="1"/>
  <c r="J26" i="2" a="1"/>
  <c r="J26" i="2" s="1"/>
  <c r="N22" i="2"/>
  <c r="N23" i="2" s="1"/>
  <c r="K26" i="2" a="1"/>
  <c r="K26" i="2" s="1"/>
  <c r="K27" i="2" s="1" a="1"/>
  <c r="K27" i="2" s="1"/>
  <c r="I41" i="2" a="1"/>
  <c r="I41" i="2" s="1"/>
  <c r="I42" i="2" s="1" a="1"/>
  <c r="I42" i="2" s="1"/>
  <c r="I43" i="2" s="1"/>
  <c r="S27" i="2" a="1"/>
  <c r="S27" i="2" s="1"/>
  <c r="N47" i="2"/>
  <c r="N48" i="2" s="1"/>
  <c r="K16" i="2" a="1"/>
  <c r="K16" i="2" s="1"/>
  <c r="K17" i="2" s="1" a="1"/>
  <c r="K17" i="2" s="1"/>
  <c r="L21" i="2" a="1"/>
  <c r="L21" i="2" s="1"/>
  <c r="O37" i="2"/>
  <c r="O38" i="2" s="1"/>
  <c r="O21" i="2"/>
  <c r="J41" i="2" a="1"/>
  <c r="J41" i="2" s="1"/>
  <c r="J42" i="2" s="1" a="1"/>
  <c r="J42" i="2" s="1"/>
  <c r="O22" i="2"/>
  <c r="O23" i="2" s="1"/>
  <c r="J36" i="2" a="1"/>
  <c r="J36" i="2" s="1"/>
  <c r="J37" i="2" s="1" a="1"/>
  <c r="J37" i="2" s="1"/>
  <c r="O32" i="2"/>
  <c r="O33" i="2" s="1"/>
  <c r="N16" i="2"/>
  <c r="Q16" i="2" a="1"/>
  <c r="Q16" i="2" s="1"/>
  <c r="H40" i="2" a="1"/>
  <c r="H40" i="2" s="1"/>
  <c r="H30" i="2" a="1"/>
  <c r="H30" i="2" s="1"/>
  <c r="N27" i="2"/>
  <c r="N28" i="2" s="1"/>
  <c r="O42" i="2"/>
  <c r="O43" i="2" s="1"/>
  <c r="N17" i="2"/>
  <c r="N18" i="2" s="1"/>
  <c r="R22" i="2" a="1"/>
  <c r="R22" i="2" s="1"/>
  <c r="P26" i="2"/>
  <c r="P27" i="2" s="1"/>
  <c r="P28" i="2" s="1"/>
  <c r="L31" i="2" a="1"/>
  <c r="L31" i="2" s="1"/>
  <c r="R17" i="2" a="1"/>
  <c r="R17" i="2" s="1"/>
  <c r="L16" i="2" a="1"/>
  <c r="L16" i="2" s="1"/>
  <c r="P46" i="2"/>
  <c r="P47" i="2" s="1"/>
  <c r="P48" i="2" s="1"/>
  <c r="N32" i="2"/>
  <c r="N33" i="2" s="1"/>
  <c r="H21" i="2"/>
  <c r="O17" i="2"/>
  <c r="O18" i="2" s="1"/>
  <c r="L36" i="2" a="1"/>
  <c r="L36" i="2" s="1"/>
  <c r="S47" i="2" a="1"/>
  <c r="S47" i="2" s="1"/>
  <c r="J31" i="2" a="1"/>
  <c r="J31" i="2" s="1"/>
  <c r="O46" i="2"/>
  <c r="H22" i="2" a="1"/>
  <c r="H22" i="2" s="1"/>
  <c r="M22" i="2" s="1"/>
  <c r="M23" i="2" s="1"/>
  <c r="N42" i="2"/>
  <c r="N43" i="2" s="1"/>
  <c r="H47" i="2" a="1"/>
  <c r="H47" i="2" s="1"/>
  <c r="M47" i="2" s="1"/>
  <c r="M48" i="2" s="1"/>
  <c r="N37" i="2"/>
  <c r="N38" i="2" s="1"/>
  <c r="R42" i="2" a="1"/>
  <c r="R42" i="2" s="1"/>
  <c r="S41" i="2" a="1"/>
  <c r="S41" i="2" s="1"/>
  <c r="P16" i="2"/>
  <c r="P17" i="2" s="1"/>
  <c r="P18" i="2" s="1"/>
  <c r="S32" i="2" a="1"/>
  <c r="S32" i="2" s="1"/>
  <c r="L26" i="2" a="1"/>
  <c r="L26" i="2" s="1"/>
  <c r="L27" i="2" s="1" a="1"/>
  <c r="L27" i="2" s="1"/>
  <c r="L28" i="2" s="1"/>
  <c r="R47" i="2" a="1"/>
  <c r="R47" i="2" s="1"/>
  <c r="S16" i="2" a="1"/>
  <c r="S16" i="2" s="1"/>
  <c r="S22" i="2" a="1"/>
  <c r="S22" i="2" s="1"/>
  <c r="H37" i="2" a="1"/>
  <c r="H37" i="2" s="1"/>
  <c r="M37" i="2" s="1"/>
  <c r="M38" i="2" s="1"/>
  <c r="T42" i="2" a="1"/>
  <c r="T42" i="2" s="1"/>
  <c r="T21" i="2" a="1"/>
  <c r="T21" i="2" s="1"/>
  <c r="T47" i="2" a="1"/>
  <c r="T47" i="2" s="1"/>
  <c r="T46" i="2" a="1"/>
  <c r="T46" i="2" s="1"/>
  <c r="T41" i="2" a="1"/>
  <c r="T41" i="2" s="1"/>
  <c r="T36" i="2" a="1"/>
  <c r="T36" i="2" s="1"/>
  <c r="T31" i="2" a="1"/>
  <c r="T31" i="2" s="1"/>
  <c r="T26" i="2" a="1"/>
  <c r="T26" i="2" s="1"/>
  <c r="T37" i="2" a="1"/>
  <c r="T37" i="2" s="1"/>
  <c r="J15" i="2" l="1"/>
  <c r="J18" i="2" s="1"/>
  <c r="J32" i="2" a="1"/>
  <c r="J32" i="2" s="1"/>
  <c r="J33" i="2" s="1"/>
  <c r="K32" i="2" a="1"/>
  <c r="K32" i="2" s="1"/>
  <c r="K33" i="2" s="1"/>
  <c r="J47" i="2" a="1"/>
  <c r="J47" i="2" s="1"/>
  <c r="R48" i="2" s="1" a="1"/>
  <c r="R48" i="2" s="1"/>
  <c r="L17" i="2" a="1"/>
  <c r="L17" i="2" s="1"/>
  <c r="L18" i="2" s="1"/>
  <c r="L37" i="2" a="1"/>
  <c r="L37" i="2" s="1"/>
  <c r="L32" i="2" a="1"/>
  <c r="L32" i="2" s="1"/>
  <c r="L33" i="2" s="1"/>
  <c r="J27" i="2" a="1"/>
  <c r="J27" i="2" s="1"/>
  <c r="R28" i="2" s="1" a="1"/>
  <c r="R28" i="2" s="1"/>
  <c r="H42" i="2" a="1"/>
  <c r="H42" i="2" s="1"/>
  <c r="M42" i="2" s="1"/>
  <c r="M43" i="2" s="1"/>
  <c r="H17" i="2" a="1"/>
  <c r="H17" i="2" s="1"/>
  <c r="M17" i="2" s="1"/>
  <c r="M18" i="2" s="1"/>
  <c r="I32" i="2" a="1"/>
  <c r="I32" i="2" s="1"/>
  <c r="Q33" i="2" s="1" a="1"/>
  <c r="Q33" i="2" s="1"/>
  <c r="L22" i="2" a="1"/>
  <c r="L22" i="2" s="1"/>
  <c r="L23" i="2" s="1"/>
  <c r="H32" i="2" a="1"/>
  <c r="H32" i="2" s="1"/>
  <c r="M32" i="2" s="1"/>
  <c r="M33" i="2" s="1"/>
  <c r="I27" i="2" a="1"/>
  <c r="I27" i="2" s="1"/>
  <c r="Q28" i="2" s="1" a="1"/>
  <c r="Q28" i="2" s="1"/>
  <c r="K42" i="2" a="1"/>
  <c r="K42" i="2" s="1"/>
  <c r="K43" i="2" s="1"/>
  <c r="L47" i="2" a="1"/>
  <c r="L47" i="2" s="1"/>
  <c r="L45" i="2"/>
  <c r="H48" i="2"/>
  <c r="H43" i="2"/>
  <c r="L35" i="2"/>
  <c r="K35" i="2" s="1"/>
  <c r="I30" i="2"/>
  <c r="K25" i="2"/>
  <c r="K28" i="2" s="1"/>
  <c r="H18" i="2"/>
  <c r="H38" i="2"/>
  <c r="R38" i="2" a="1"/>
  <c r="R38" i="2" s="1"/>
  <c r="R33" i="2" a="1"/>
  <c r="R33" i="2" s="1"/>
  <c r="T48" i="2" a="1"/>
  <c r="T48" i="2" s="1"/>
  <c r="U47" i="2" a="1"/>
  <c r="U47" i="2" s="1"/>
  <c r="Y47" i="2" s="1"/>
  <c r="U32" i="2" a="1"/>
  <c r="U32" i="2" s="1"/>
  <c r="Y32" i="2" s="1"/>
  <c r="K23" i="2"/>
  <c r="S23" i="2" a="1"/>
  <c r="S23" i="2" s="1"/>
  <c r="J43" i="2"/>
  <c r="R43" i="2" a="1"/>
  <c r="R43" i="2" s="1"/>
  <c r="I23" i="2"/>
  <c r="Q23" i="2" a="1"/>
  <c r="Q23" i="2" s="1"/>
  <c r="Q38" i="2" a="1"/>
  <c r="Q38" i="2" s="1"/>
  <c r="Q18" i="2" a="1"/>
  <c r="Q18" i="2" s="1"/>
  <c r="J23" i="2"/>
  <c r="R23" i="2" a="1"/>
  <c r="R23" i="2" s="1"/>
  <c r="K18" i="2"/>
  <c r="S18" i="2" a="1"/>
  <c r="S18" i="2" s="1"/>
  <c r="R18" i="2" a="1"/>
  <c r="R18" i="2" s="1"/>
  <c r="U22" i="2" a="1"/>
  <c r="U22" i="2" s="1"/>
  <c r="Y22" i="2" s="1"/>
  <c r="U42" i="2" a="1"/>
  <c r="U42" i="2" s="1"/>
  <c r="Y42" i="2" s="1"/>
  <c r="S48" i="2" a="1"/>
  <c r="S48" i="2" s="1"/>
  <c r="Q43" i="2" a="1"/>
  <c r="Q43" i="2" s="1"/>
  <c r="Q48" i="2" a="1"/>
  <c r="Q48" i="2" s="1"/>
  <c r="T38" i="2" a="1"/>
  <c r="T38" i="2" s="1"/>
  <c r="S38" i="2" a="1"/>
  <c r="S38" i="2" s="1"/>
  <c r="H28" i="2"/>
  <c r="T18" i="2" a="1"/>
  <c r="T18" i="2" s="1"/>
  <c r="T43" i="2" a="1"/>
  <c r="T43" i="2" s="1"/>
  <c r="U17" i="2" a="1"/>
  <c r="U17" i="2" s="1"/>
  <c r="Y17" i="2" s="1"/>
  <c r="U27" i="2" a="1"/>
  <c r="U27" i="2" s="1"/>
  <c r="Y27" i="2" s="1"/>
  <c r="U37" i="2" a="1"/>
  <c r="U37" i="2" s="1"/>
  <c r="Y37" i="2" s="1"/>
  <c r="S28" i="2" a="1"/>
  <c r="S28" i="2" s="1"/>
  <c r="H23" i="2"/>
  <c r="S33" i="2" l="1" a="1"/>
  <c r="S33" i="2" s="1"/>
  <c r="I15" i="2"/>
  <c r="I18" i="2" s="1"/>
  <c r="H33" i="2"/>
  <c r="S43" i="2" a="1"/>
  <c r="S43" i="2" s="1"/>
  <c r="W43" i="2" s="1" a="1"/>
  <c r="W43" i="2" s="1"/>
  <c r="I33" i="2"/>
  <c r="L48" i="2"/>
  <c r="K45" i="2"/>
  <c r="J45" i="2" s="1"/>
  <c r="I45" i="2" s="1"/>
  <c r="I48" i="2" s="1"/>
  <c r="J35" i="2"/>
  <c r="J38" i="2" s="1"/>
  <c r="K38" i="2"/>
  <c r="L38" i="2"/>
  <c r="J25" i="2"/>
  <c r="T32" i="2" a="1"/>
  <c r="T32" i="2" s="1"/>
  <c r="T33" i="2" s="1" a="1"/>
  <c r="T33" i="2" s="1"/>
  <c r="Y13" i="2"/>
  <c r="T22" i="2" a="1"/>
  <c r="T22" i="2" s="1"/>
  <c r="T23" i="2" s="1" a="1"/>
  <c r="T23" i="2" s="1"/>
  <c r="W23" i="2" s="1" a="1"/>
  <c r="W23" i="2" s="1"/>
  <c r="W18" i="2" a="1"/>
  <c r="W18" i="2" s="1"/>
  <c r="W33" i="2" l="1" a="1"/>
  <c r="W33" i="2" s="1"/>
  <c r="I35" i="2"/>
  <c r="I38" i="2" s="1"/>
  <c r="W38" i="2" s="1" a="1"/>
  <c r="W38" i="2" s="1"/>
  <c r="J48" i="2"/>
  <c r="K48" i="2"/>
  <c r="W48" i="2" s="1" a="1"/>
  <c r="W48" i="2" s="1"/>
  <c r="J28" i="2"/>
  <c r="I25" i="2"/>
  <c r="I28" i="2" s="1"/>
  <c r="T27" i="2" s="1" a="1"/>
  <c r="T27" i="2" s="1"/>
  <c r="T28" i="2" s="1" a="1"/>
  <c r="T28" i="2" s="1"/>
  <c r="W28" i="2" s="1" a="1"/>
  <c r="W28" i="2" s="1"/>
  <c r="W13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<sst xmlns="http://schemas.openxmlformats.org/spreadsheetml/2006/main" count="223" uniqueCount="143">
  <si>
    <t>Løngruppe 1</t>
  </si>
  <si>
    <t>Angiv selv løn</t>
  </si>
  <si>
    <t>- Kameraoperatør</t>
  </si>
  <si>
    <t>- Steadicam operatør</t>
  </si>
  <si>
    <t>- Food styling</t>
  </si>
  <si>
    <t>- Stylist (både kostume og sminke)</t>
  </si>
  <si>
    <t>Løngruppe 2</t>
  </si>
  <si>
    <t>- Location manager / scout</t>
  </si>
  <si>
    <t>- Tonemester på optagelse</t>
  </si>
  <si>
    <t>- 1. AC/ B-foto</t>
  </si>
  <si>
    <t>- Belysningsmester</t>
  </si>
  <si>
    <t>- SFX Supervisor</t>
  </si>
  <si>
    <t>- Key grip</t>
  </si>
  <si>
    <t>- Chefkostume</t>
  </si>
  <si>
    <t>- Chefrekvisitør</t>
  </si>
  <si>
    <t>- Chefsminkør</t>
  </si>
  <si>
    <t>Løngruppe 3</t>
  </si>
  <si>
    <t>- Statistkoordinator</t>
  </si>
  <si>
    <t>- B-Tonemester / Boom op.</t>
  </si>
  <si>
    <t>- Q-take operatør</t>
  </si>
  <si>
    <t>- DIT</t>
  </si>
  <si>
    <t>- Scripter</t>
  </si>
  <si>
    <t>- Board operator</t>
  </si>
  <si>
    <t>- Belyser</t>
  </si>
  <si>
    <t>- Best boy grip</t>
  </si>
  <si>
    <t>- Kostumier</t>
  </si>
  <si>
    <t>- Rekvisitør</t>
  </si>
  <si>
    <t>- Sminkør / Hår</t>
  </si>
  <si>
    <t>- SFX Tekniker</t>
  </si>
  <si>
    <t>Løngruppe 4</t>
  </si>
  <si>
    <t>- Indspilningslederassistant</t>
  </si>
  <si>
    <t>- Videoassistent</t>
  </si>
  <si>
    <t>- Data Wrangler</t>
  </si>
  <si>
    <t>- Belysningsassistent</t>
  </si>
  <si>
    <t>- Toneassistent</t>
  </si>
  <si>
    <t>- Grip assistent</t>
  </si>
  <si>
    <t>- Kostumier assistent</t>
  </si>
  <si>
    <t>- Rekvisitør assistent</t>
  </si>
  <si>
    <t>- Sminkør assistent</t>
  </si>
  <si>
    <t>- SFX assistent</t>
  </si>
  <si>
    <t>- Locationassistent</t>
  </si>
  <si>
    <t>Løngruppe 5:</t>
  </si>
  <si>
    <t>- Runner</t>
  </si>
  <si>
    <t>- Trainee (Tilknyttet en afdeling som ekstra hjælp)</t>
  </si>
  <si>
    <r>
      <t>- Sound designer</t>
    </r>
    <r>
      <rPr>
        <sz val="10"/>
        <color rgb="FF000000"/>
        <rFont val="Calibri"/>
        <family val="2"/>
        <scheme val="minor"/>
      </rPr>
      <t>  </t>
    </r>
  </si>
  <si>
    <t>LØNGRUPPER</t>
  </si>
  <si>
    <t>Adresse</t>
  </si>
  <si>
    <t>Postnr. &amp; By</t>
  </si>
  <si>
    <t>CPR nr.</t>
  </si>
  <si>
    <t>Bank navn</t>
  </si>
  <si>
    <t>Reg &amp; Konto nr.</t>
  </si>
  <si>
    <t>Telefon</t>
  </si>
  <si>
    <t>Email</t>
  </si>
  <si>
    <t>Fulde navn</t>
  </si>
  <si>
    <t>Evt. kontakt reference</t>
  </si>
  <si>
    <t>Evt. kunde reference</t>
  </si>
  <si>
    <t>Ugedag</t>
  </si>
  <si>
    <t>Forberedelsestid</t>
  </si>
  <si>
    <t>Normaltimer</t>
  </si>
  <si>
    <t>0-8</t>
  </si>
  <si>
    <t>8-10t</t>
  </si>
  <si>
    <t>10-12t</t>
  </si>
  <si>
    <t>12+ t</t>
  </si>
  <si>
    <t>Optagetid</t>
  </si>
  <si>
    <t>12-14t</t>
  </si>
  <si>
    <t>14+ t</t>
  </si>
  <si>
    <t>WEEKEND</t>
  </si>
  <si>
    <t>1 weekend dag</t>
  </si>
  <si>
    <t>2 weekend dage</t>
  </si>
  <si>
    <t>TRANSPORT</t>
  </si>
  <si>
    <t>Transporttid</t>
  </si>
  <si>
    <t>Optagetid kl. 00:00 - 06:00</t>
  </si>
  <si>
    <t>Optagetid ml. 18:00 - 00:00</t>
  </si>
  <si>
    <t>Fra Fredag kl 00, til mandag kl 06:00</t>
  </si>
  <si>
    <t>PAUSER</t>
  </si>
  <si>
    <t>TIME BEREGNER</t>
  </si>
  <si>
    <t>30min betaling til normaltimeløn + 100%</t>
  </si>
  <si>
    <t>15min betaling til normaltimeløn + 150%</t>
  </si>
  <si>
    <t>RABATORDNINGER</t>
  </si>
  <si>
    <t>Rabat A:</t>
  </si>
  <si>
    <t>Gives på alle optagedage, på produktioner på 2-4dage</t>
  </si>
  <si>
    <t>Gives på dag 5 og efterfølgende dage på produktioner der har over 4 optagedage</t>
  </si>
  <si>
    <t>Rabat B:</t>
  </si>
  <si>
    <t>RABAT</t>
  </si>
  <si>
    <t>Rabat A el. B</t>
  </si>
  <si>
    <t>Normal-timer</t>
  </si>
  <si>
    <t>UGE #</t>
  </si>
  <si>
    <r>
      <t xml:space="preserve">5. time 
</t>
    </r>
    <r>
      <rPr>
        <sz val="11"/>
        <color theme="0"/>
        <rFont val="Calibri"/>
        <family val="2"/>
        <scheme val="minor"/>
      </rPr>
      <t xml:space="preserve">(30+15min) </t>
    </r>
  </si>
  <si>
    <r>
      <t xml:space="preserve">10. time
</t>
    </r>
    <r>
      <rPr>
        <sz val="11"/>
        <color theme="0"/>
        <rFont val="Calibri"/>
        <family val="2"/>
        <scheme val="minor"/>
      </rPr>
      <t>(30min)</t>
    </r>
  </si>
  <si>
    <r>
      <t xml:space="preserve">13. time 
</t>
    </r>
    <r>
      <rPr>
        <sz val="11"/>
        <color theme="0"/>
        <rFont val="Calibri"/>
        <family val="2"/>
        <scheme val="minor"/>
      </rPr>
      <t>(15min)</t>
    </r>
  </si>
  <si>
    <t>Dato</t>
  </si>
  <si>
    <t>Start</t>
  </si>
  <si>
    <t>Slut</t>
  </si>
  <si>
    <t>Forsinket afholdt frokost</t>
  </si>
  <si>
    <t>Ingen servering ved pause</t>
  </si>
  <si>
    <t>45min betaling til normaltimeløn + 25%</t>
  </si>
  <si>
    <t>Planmæssigt</t>
  </si>
  <si>
    <t>5. time pause ikke afholdt</t>
  </si>
  <si>
    <t>10. time pause ikke afholdt</t>
  </si>
  <si>
    <t>13 time pause ikke afholdt</t>
  </si>
  <si>
    <t>Gælder først efter kl 10</t>
  </si>
  <si>
    <t>Ingen rabat</t>
  </si>
  <si>
    <t>Optagelse 
kl. 18 - 00</t>
  </si>
  <si>
    <t>Optagelse 
kl. 00 - 06</t>
  </si>
  <si>
    <t>GRUNDLØNINGER GÆLDENDE FOR:</t>
  </si>
  <si>
    <t>Produktions titel</t>
  </si>
  <si>
    <t>Evt. Produktions nr.</t>
  </si>
  <si>
    <t xml:space="preserve">Bank navn			</t>
  </si>
  <si>
    <t>9-10 timer</t>
  </si>
  <si>
    <t>11-12 timer</t>
  </si>
  <si>
    <t>13 timer</t>
  </si>
  <si>
    <t>≥ 14 timer</t>
  </si>
  <si>
    <t>GENE TILLÆG</t>
  </si>
  <si>
    <t>OVERTID FOR LØNGR. 2-4</t>
  </si>
  <si>
    <t>OVERTID FOR LØNGR 5</t>
  </si>
  <si>
    <t>- Indspilningsleder</t>
  </si>
  <si>
    <t>Dagsløn:</t>
  </si>
  <si>
    <t>Evt personligt tillæg:</t>
  </si>
  <si>
    <t>Dagsløn total:</t>
  </si>
  <si>
    <t>Vælg løn gr./funktion</t>
  </si>
  <si>
    <t>GENETILLÆG</t>
  </si>
  <si>
    <t>á</t>
  </si>
  <si>
    <t>Dage</t>
  </si>
  <si>
    <t>Dagsløn</t>
  </si>
  <si>
    <t>Diætsatser 2024</t>
  </si>
  <si>
    <t>Rate 1</t>
  </si>
  <si>
    <t>Rate 2</t>
  </si>
  <si>
    <t>A-LØN TOTAL</t>
  </si>
  <si>
    <t>DIÆTER TOTAL</t>
  </si>
  <si>
    <r>
      <t xml:space="preserve">ANTAL AFTALTE FORBEREDELSES- OG AFRIG DAGE </t>
    </r>
    <r>
      <rPr>
        <b/>
        <u/>
        <sz val="11"/>
        <color theme="0"/>
        <rFont val="Calibri (Tekst)"/>
      </rPr>
      <t>UDEN</t>
    </r>
    <r>
      <rPr>
        <b/>
        <sz val="11"/>
        <color theme="0"/>
        <rFont val="Calibri (Tekst)"/>
      </rPr>
      <t xml:space="preserve"> </t>
    </r>
    <r>
      <rPr>
        <b/>
        <sz val="11"/>
        <color theme="0"/>
        <rFont val="Calibri"/>
        <family val="2"/>
        <scheme val="minor"/>
      </rPr>
      <t>OVERTID</t>
    </r>
  </si>
  <si>
    <t>WEEKEND / HELLIGDAG</t>
  </si>
  <si>
    <t>Fre 24:00 - Man 06:00</t>
  </si>
  <si>
    <t>Helligdag?</t>
  </si>
  <si>
    <t>Nej</t>
  </si>
  <si>
    <t>Fri</t>
  </si>
  <si>
    <t xml:space="preserve">- 2. AC </t>
  </si>
  <si>
    <t>UDFYLDES KUN FOR OPTAGELSE</t>
  </si>
  <si>
    <t>DIÆTER</t>
  </si>
  <si>
    <t>Transporttid
til/fra set</t>
  </si>
  <si>
    <t>Ingen diæt</t>
  </si>
  <si>
    <t>-</t>
  </si>
  <si>
    <t>Fortæring i arbejdstiden</t>
  </si>
  <si>
    <t>Timer i alt, ex. Transporttid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</si>
</sst>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dddd"/>
    <numFmt numFmtId="165" formatCode="dd/mm/yy"/>
    <numFmt numFmtId="166" formatCode="yyyy"/>
    <numFmt numFmtId="167" formatCode="0.0"/>
    <numFmt numFmtId="168" formatCode="hh:mm;@"/>
    <numFmt numFmtId="169" formatCode="[$-F400]h:mm:ss\ AM/PM"/>
  </numFmts>
  <fonts count="29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0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i/>
      <sz val="10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i/>
      <sz val="10"/>
      <color theme="0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i/>
      <sz val="10"/>
      <color theme="0"/>
      <name val="Calibri"/>
      <family val="2"/>
      <scheme val="minor"/>
    </font>
    <font>
      <sz val="10"/>
      <color theme="0" tint="-0.499984740745262"/>
      <name val="Calibri"/>
      <family val="2"/>
      <scheme val="minor"/>
    </font>
    <font>
      <i/>
      <sz val="10"/>
      <color theme="0" tint="-0.499984740745262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1"/>
      <color theme="0"/>
      <name val="Calibri (Tekst)"/>
    </font>
    <font>
      <b/>
      <sz val="11"/>
      <color theme="0"/>
      <name val="Calibri (Tekst)"/>
    </font>
    <font>
      <b/>
      <sz val="10"/>
      <color theme="0" tint="-0.49998474074526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 style="medium">
        <color indexed="64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/>
      <top/>
      <bottom style="thin">
        <color indexed="64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medium">
        <color theme="1"/>
      </left>
      <right style="medium">
        <color theme="1"/>
      </right>
      <top/>
      <bottom/>
      <diagonal/>
    </border>
    <border>
      <left style="medium">
        <color theme="1"/>
      </left>
      <right style="medium">
        <color theme="1"/>
      </right>
      <top/>
      <bottom style="medium">
        <color theme="1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theme="1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theme="1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 style="medium">
        <color indexed="64"/>
      </right>
      <top style="medium">
        <color theme="1"/>
      </top>
      <bottom/>
      <diagonal/>
    </border>
    <border>
      <left style="medium">
        <color indexed="64"/>
      </left>
      <right style="medium">
        <color theme="1"/>
      </right>
      <top style="medium">
        <color theme="1"/>
      </top>
      <bottom/>
      <diagonal/>
    </border>
    <border>
      <left style="medium">
        <color indexed="64"/>
      </left>
      <right style="medium">
        <color theme="1"/>
      </right>
      <top/>
      <bottom/>
      <diagonal/>
    </border>
    <border>
      <left style="medium">
        <color indexed="64"/>
      </left>
      <right style="medium">
        <color theme="1"/>
      </right>
      <top/>
      <bottom style="thin">
        <color indexed="64"/>
      </bottom>
      <diagonal/>
    </border>
    <border>
      <left style="medium">
        <color indexed="64"/>
      </left>
      <right style="medium">
        <color theme="1"/>
      </right>
      <top/>
      <bottom style="medium">
        <color indexed="64"/>
      </bottom>
      <diagonal/>
    </border>
    <border>
      <left style="medium">
        <color indexed="64"/>
      </left>
      <right style="medium">
        <color theme="1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theme="1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theme="1"/>
      </right>
      <top style="medium">
        <color indexed="64"/>
      </top>
      <bottom/>
      <diagonal/>
    </border>
  </borders>
  <cellStyleXfs count="1">
    <xf numFmtId="0" fontId="0" fillId="0" borderId="0"/>
  </cellStyleXfs>
  <cellXfs count="157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quotePrefix="1" applyFont="1"/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1" fontId="6" fillId="0" borderId="0" xfId="0" applyNumberFormat="1" applyFont="1" applyAlignment="1">
      <alignment horizontal="center"/>
    </xf>
    <xf numFmtId="9" fontId="0" fillId="0" borderId="0" xfId="0" applyNumberFormat="1" applyAlignment="1">
      <alignment horizontal="center"/>
    </xf>
    <xf numFmtId="0" fontId="9" fillId="0" borderId="0" xfId="0" applyFont="1"/>
    <xf numFmtId="0" fontId="0" fillId="0" borderId="0" xfId="0" applyAlignment="1">
      <alignment horizontal="left"/>
    </xf>
    <xf numFmtId="0" fontId="1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/>
    <xf numFmtId="2" fontId="8" fillId="2" borderId="7" xfId="0" applyNumberFormat="1" applyFont="1" applyFill="1" applyBorder="1" applyAlignment="1">
      <alignment horizontal="center" vertical="center"/>
    </xf>
    <xf numFmtId="2" fontId="4" fillId="2" borderId="7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9" fontId="4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vertical="center"/>
    </xf>
    <xf numFmtId="0" fontId="14" fillId="3" borderId="10" xfId="0" applyFont="1" applyFill="1" applyBorder="1" applyAlignment="1">
      <alignment horizontal="center" vertical="center"/>
    </xf>
    <xf numFmtId="0" fontId="14" fillId="3" borderId="11" xfId="0" applyFont="1" applyFill="1" applyBorder="1" applyAlignment="1">
      <alignment horizontal="center" vertical="center"/>
    </xf>
    <xf numFmtId="0" fontId="14" fillId="3" borderId="11" xfId="0" applyFont="1" applyFill="1" applyBorder="1" applyAlignment="1">
      <alignment horizontal="center" vertical="center" wrapText="1"/>
    </xf>
    <xf numFmtId="0" fontId="4" fillId="0" borderId="8" xfId="0" applyFont="1" applyBorder="1"/>
    <xf numFmtId="0" fontId="11" fillId="3" borderId="6" xfId="0" applyFont="1" applyFill="1" applyBorder="1" applyAlignment="1">
      <alignment horizontal="center" vertical="center"/>
    </xf>
    <xf numFmtId="165" fontId="17" fillId="0" borderId="5" xfId="0" applyNumberFormat="1" applyFont="1" applyBorder="1" applyAlignment="1" applyProtection="1">
      <alignment horizontal="center" vertical="center"/>
      <protection locked="0"/>
    </xf>
    <xf numFmtId="0" fontId="0" fillId="0" borderId="0" xfId="0" applyAlignment="1">
      <alignment vertical="center"/>
    </xf>
    <xf numFmtId="49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vertical="center"/>
    </xf>
    <xf numFmtId="49" fontId="1" fillId="0" borderId="9" xfId="0" applyNumberFormat="1" applyFont="1" applyBorder="1" applyAlignment="1">
      <alignment vertical="center"/>
    </xf>
    <xf numFmtId="0" fontId="14" fillId="3" borderId="19" xfId="0" applyFont="1" applyFill="1" applyBorder="1" applyAlignment="1">
      <alignment horizontal="center" vertical="center" wrapText="1"/>
    </xf>
    <xf numFmtId="9" fontId="0" fillId="5" borderId="12" xfId="0" applyNumberFormat="1" applyFill="1" applyBorder="1" applyAlignment="1">
      <alignment horizontal="center"/>
    </xf>
    <xf numFmtId="0" fontId="0" fillId="5" borderId="12" xfId="0" applyFill="1" applyBorder="1" applyAlignment="1">
      <alignment horizontal="center"/>
    </xf>
    <xf numFmtId="2" fontId="0" fillId="5" borderId="12" xfId="0" applyNumberFormat="1" applyFill="1" applyBorder="1" applyAlignment="1">
      <alignment horizontal="center"/>
    </xf>
    <xf numFmtId="0" fontId="0" fillId="5" borderId="20" xfId="0" applyFill="1" applyBorder="1" applyAlignment="1">
      <alignment horizontal="center"/>
    </xf>
    <xf numFmtId="9" fontId="0" fillId="5" borderId="21" xfId="0" applyNumberFormat="1" applyFill="1" applyBorder="1" applyAlignment="1">
      <alignment horizontal="center"/>
    </xf>
    <xf numFmtId="0" fontId="0" fillId="5" borderId="13" xfId="0" applyFill="1" applyBorder="1" applyAlignment="1">
      <alignment horizontal="center"/>
    </xf>
    <xf numFmtId="9" fontId="0" fillId="5" borderId="14" xfId="0" applyNumberFormat="1" applyFill="1" applyBorder="1" applyAlignment="1">
      <alignment horizontal="center"/>
    </xf>
    <xf numFmtId="9" fontId="0" fillId="5" borderId="15" xfId="0" applyNumberFormat="1" applyFill="1" applyBorder="1" applyAlignment="1">
      <alignment horizontal="center"/>
    </xf>
    <xf numFmtId="0" fontId="18" fillId="0" borderId="0" xfId="0" applyFont="1" applyAlignment="1">
      <alignment horizontal="center" vertical="center"/>
    </xf>
    <xf numFmtId="1" fontId="1" fillId="0" borderId="0" xfId="0" applyNumberFormat="1" applyFont="1" applyAlignment="1">
      <alignment horizontal="center"/>
    </xf>
    <xf numFmtId="1" fontId="6" fillId="5" borderId="1" xfId="0" applyNumberFormat="1" applyFont="1" applyFill="1" applyBorder="1" applyAlignment="1">
      <alignment horizontal="center"/>
    </xf>
    <xf numFmtId="0" fontId="4" fillId="0" borderId="22" xfId="0" applyFont="1" applyBorder="1"/>
    <xf numFmtId="0" fontId="0" fillId="0" borderId="13" xfId="0" applyBorder="1" applyAlignment="1">
      <alignment vertical="center"/>
    </xf>
    <xf numFmtId="0" fontId="8" fillId="0" borderId="0" xfId="0" applyFont="1"/>
    <xf numFmtId="0" fontId="0" fillId="5" borderId="2" xfId="0" applyFill="1" applyBorder="1" applyAlignment="1">
      <alignment horizontal="center"/>
    </xf>
    <xf numFmtId="2" fontId="0" fillId="5" borderId="3" xfId="0" applyNumberFormat="1" applyFill="1" applyBorder="1" applyAlignment="1">
      <alignment horizontal="center"/>
    </xf>
    <xf numFmtId="2" fontId="0" fillId="5" borderId="4" xfId="0" applyNumberFormat="1" applyFill="1" applyBorder="1" applyAlignment="1">
      <alignment horizontal="center"/>
    </xf>
    <xf numFmtId="166" fontId="0" fillId="0" borderId="15" xfId="0" applyNumberFormat="1" applyBorder="1" applyAlignment="1">
      <alignment horizontal="center" vertical="center"/>
    </xf>
    <xf numFmtId="49" fontId="0" fillId="0" borderId="0" xfId="0" applyNumberFormat="1" applyAlignment="1">
      <alignment horizontal="center"/>
    </xf>
    <xf numFmtId="10" fontId="0" fillId="0" borderId="0" xfId="0" applyNumberFormat="1" applyAlignment="1">
      <alignment horizontal="center"/>
    </xf>
    <xf numFmtId="1" fontId="6" fillId="0" borderId="0" xfId="0" applyNumberFormat="1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21" fillId="3" borderId="23" xfId="0" applyFont="1" applyFill="1" applyBorder="1" applyAlignment="1">
      <alignment horizontal="center" vertical="center" wrapText="1"/>
    </xf>
    <xf numFmtId="4" fontId="19" fillId="3" borderId="23" xfId="0" applyNumberFormat="1" applyFont="1" applyFill="1" applyBorder="1" applyAlignment="1">
      <alignment horizontal="center" vertical="center"/>
    </xf>
    <xf numFmtId="167" fontId="20" fillId="0" borderId="23" xfId="0" applyNumberFormat="1" applyFont="1" applyBorder="1" applyAlignment="1" applyProtection="1">
      <alignment horizontal="center" vertical="center" wrapText="1"/>
      <protection locked="0"/>
    </xf>
    <xf numFmtId="2" fontId="24" fillId="2" borderId="23" xfId="0" applyNumberFormat="1" applyFont="1" applyFill="1" applyBorder="1" applyAlignment="1">
      <alignment horizontal="center" vertical="center"/>
    </xf>
    <xf numFmtId="0" fontId="4" fillId="0" borderId="16" xfId="0" applyFont="1" applyBorder="1" applyAlignment="1">
      <alignment vertical="center"/>
    </xf>
    <xf numFmtId="0" fontId="4" fillId="0" borderId="24" xfId="0" applyFont="1" applyBorder="1" applyAlignment="1">
      <alignment vertical="center"/>
    </xf>
    <xf numFmtId="0" fontId="4" fillId="0" borderId="6" xfId="0" applyFont="1" applyBorder="1" applyAlignment="1">
      <alignment vertical="center"/>
    </xf>
    <xf numFmtId="0" fontId="4" fillId="0" borderId="25" xfId="0" applyFont="1" applyBorder="1" applyAlignment="1">
      <alignment vertical="center"/>
    </xf>
    <xf numFmtId="4" fontId="1" fillId="0" borderId="26" xfId="0" applyNumberFormat="1" applyFont="1" applyBorder="1" applyAlignment="1">
      <alignment horizontal="center" vertical="center"/>
    </xf>
    <xf numFmtId="0" fontId="4" fillId="0" borderId="6" xfId="0" applyFont="1" applyBorder="1"/>
    <xf numFmtId="20" fontId="0" fillId="0" borderId="0" xfId="0" applyNumberFormat="1"/>
    <xf numFmtId="20" fontId="4" fillId="0" borderId="0" xfId="0" applyNumberFormat="1" applyFont="1"/>
    <xf numFmtId="168" fontId="17" fillId="0" borderId="6" xfId="0" applyNumberFormat="1" applyFont="1" applyBorder="1" applyAlignment="1" applyProtection="1">
      <alignment horizontal="center" vertical="center"/>
      <protection locked="0"/>
    </xf>
    <xf numFmtId="20" fontId="0" fillId="0" borderId="0" xfId="0" applyNumberFormat="1" applyAlignment="1">
      <alignment horizontal="center"/>
    </xf>
    <xf numFmtId="0" fontId="14" fillId="3" borderId="29" xfId="0" applyFont="1" applyFill="1" applyBorder="1" applyAlignment="1">
      <alignment horizontal="center" vertical="center" wrapText="1"/>
    </xf>
    <xf numFmtId="16" fontId="14" fillId="3" borderId="10" xfId="0" applyNumberFormat="1" applyFont="1" applyFill="1" applyBorder="1" applyAlignment="1">
      <alignment horizontal="center" vertical="center" wrapText="1"/>
    </xf>
    <xf numFmtId="0" fontId="14" fillId="3" borderId="10" xfId="0" applyFont="1" applyFill="1" applyBorder="1" applyAlignment="1">
      <alignment horizontal="center" vertical="center" wrapText="1"/>
    </xf>
    <xf numFmtId="0" fontId="14" fillId="3" borderId="30" xfId="0" applyFont="1" applyFill="1" applyBorder="1" applyAlignment="1">
      <alignment horizontal="center" vertical="center" wrapText="1"/>
    </xf>
    <xf numFmtId="0" fontId="16" fillId="3" borderId="10" xfId="0" applyFont="1" applyFill="1" applyBorder="1" applyAlignment="1">
      <alignment horizontal="center" vertical="center" wrapText="1"/>
    </xf>
    <xf numFmtId="0" fontId="11" fillId="3" borderId="27" xfId="0" applyFont="1" applyFill="1" applyBorder="1" applyAlignment="1">
      <alignment horizontal="center" vertical="center"/>
    </xf>
    <xf numFmtId="0" fontId="11" fillId="3" borderId="8" xfId="0" applyFont="1" applyFill="1" applyBorder="1" applyAlignment="1">
      <alignment horizontal="center" vertical="center"/>
    </xf>
    <xf numFmtId="2" fontId="0" fillId="0" borderId="0" xfId="0" applyNumberFormat="1" applyAlignment="1">
      <alignment vertical="center"/>
    </xf>
    <xf numFmtId="169" fontId="4" fillId="0" borderId="0" xfId="0" applyNumberFormat="1" applyFont="1"/>
    <xf numFmtId="2" fontId="4" fillId="0" borderId="0" xfId="0" applyNumberFormat="1" applyFont="1"/>
    <xf numFmtId="2" fontId="23" fillId="2" borderId="7" xfId="0" applyNumberFormat="1" applyFont="1" applyFill="1" applyBorder="1" applyAlignment="1">
      <alignment horizontal="center" vertical="center"/>
    </xf>
    <xf numFmtId="0" fontId="11" fillId="3" borderId="28" xfId="0" applyFont="1" applyFill="1" applyBorder="1" applyAlignment="1">
      <alignment horizontal="center" vertical="center" wrapText="1"/>
    </xf>
    <xf numFmtId="2" fontId="4" fillId="0" borderId="0" xfId="0" applyNumberFormat="1" applyFont="1" applyAlignment="1">
      <alignment vertical="center"/>
    </xf>
    <xf numFmtId="164" fontId="6" fillId="2" borderId="5" xfId="0" applyNumberFormat="1" applyFont="1" applyFill="1" applyBorder="1" applyAlignment="1">
      <alignment horizontal="center" vertical="center"/>
    </xf>
    <xf numFmtId="15" fontId="16" fillId="3" borderId="0" xfId="0" applyNumberFormat="1" applyFont="1" applyFill="1" applyAlignment="1">
      <alignment horizontal="center" vertical="center"/>
    </xf>
    <xf numFmtId="0" fontId="16" fillId="3" borderId="0" xfId="0" applyFont="1" applyFill="1" applyAlignment="1">
      <alignment horizontal="center" vertical="center"/>
    </xf>
    <xf numFmtId="2" fontId="3" fillId="2" borderId="32" xfId="0" applyNumberFormat="1" applyFont="1" applyFill="1" applyBorder="1" applyAlignment="1">
      <alignment horizontal="center" vertical="center"/>
    </xf>
    <xf numFmtId="2" fontId="2" fillId="2" borderId="33" xfId="0" applyNumberFormat="1" applyFont="1" applyFill="1" applyBorder="1" applyAlignment="1">
      <alignment horizontal="center" vertical="center"/>
    </xf>
    <xf numFmtId="2" fontId="6" fillId="2" borderId="33" xfId="0" applyNumberFormat="1" applyFont="1" applyFill="1" applyBorder="1" applyAlignment="1">
      <alignment horizontal="center" vertical="center"/>
    </xf>
    <xf numFmtId="2" fontId="22" fillId="2" borderId="33" xfId="0" applyNumberFormat="1" applyFont="1" applyFill="1" applyBorder="1" applyAlignment="1" applyProtection="1">
      <alignment horizontal="center" vertical="center"/>
      <protection locked="0"/>
    </xf>
    <xf numFmtId="0" fontId="22" fillId="2" borderId="33" xfId="0" applyFont="1" applyFill="1" applyBorder="1" applyAlignment="1" applyProtection="1">
      <alignment horizontal="center" vertical="center" wrapText="1"/>
      <protection locked="0"/>
    </xf>
    <xf numFmtId="0" fontId="4" fillId="2" borderId="34" xfId="0" applyFont="1" applyFill="1" applyBorder="1" applyAlignment="1">
      <alignment vertical="center"/>
    </xf>
    <xf numFmtId="10" fontId="8" fillId="2" borderId="35" xfId="0" applyNumberFormat="1" applyFont="1" applyFill="1" applyBorder="1" applyAlignment="1">
      <alignment horizontal="center" vertical="center"/>
    </xf>
    <xf numFmtId="2" fontId="8" fillId="2" borderId="36" xfId="0" applyNumberFormat="1" applyFont="1" applyFill="1" applyBorder="1" applyAlignment="1">
      <alignment horizontal="center" vertical="center"/>
    </xf>
    <xf numFmtId="0" fontId="4" fillId="2" borderId="37" xfId="0" applyFont="1" applyFill="1" applyBorder="1" applyAlignment="1">
      <alignment vertical="center"/>
    </xf>
    <xf numFmtId="4" fontId="2" fillId="2" borderId="22" xfId="0" applyNumberFormat="1" applyFont="1" applyFill="1" applyBorder="1" applyAlignment="1">
      <alignment horizontal="center" vertical="center"/>
    </xf>
    <xf numFmtId="4" fontId="28" fillId="2" borderId="22" xfId="0" applyNumberFormat="1" applyFont="1" applyFill="1" applyBorder="1" applyAlignment="1">
      <alignment horizontal="center" vertical="center"/>
    </xf>
    <xf numFmtId="2" fontId="6" fillId="2" borderId="22" xfId="0" applyNumberFormat="1" applyFont="1" applyFill="1" applyBorder="1" applyAlignment="1">
      <alignment horizontal="center" vertical="center"/>
    </xf>
    <xf numFmtId="0" fontId="4" fillId="2" borderId="38" xfId="0" applyFont="1" applyFill="1" applyBorder="1" applyAlignment="1">
      <alignment vertical="center"/>
    </xf>
    <xf numFmtId="49" fontId="17" fillId="0" borderId="0" xfId="0" applyNumberFormat="1" applyFont="1" applyAlignment="1" applyProtection="1">
      <alignment horizontal="center" vertical="center"/>
      <protection locked="0"/>
    </xf>
    <xf numFmtId="0" fontId="16" fillId="3" borderId="11" xfId="0" applyFont="1" applyFill="1" applyBorder="1" applyAlignment="1">
      <alignment horizontal="center" vertical="center" wrapText="1"/>
    </xf>
    <xf numFmtId="4" fontId="6" fillId="2" borderId="41" xfId="0" applyNumberFormat="1" applyFont="1" applyFill="1" applyBorder="1" applyAlignment="1">
      <alignment horizontal="center" vertical="center"/>
    </xf>
    <xf numFmtId="10" fontId="8" fillId="2" borderId="0" xfId="0" applyNumberFormat="1" applyFont="1" applyFill="1" applyAlignment="1">
      <alignment horizontal="center" vertical="center"/>
    </xf>
    <xf numFmtId="0" fontId="22" fillId="2" borderId="43" xfId="0" applyFont="1" applyFill="1" applyBorder="1" applyAlignment="1" applyProtection="1">
      <alignment horizontal="center" vertical="center"/>
      <protection locked="0"/>
    </xf>
    <xf numFmtId="4" fontId="6" fillId="2" borderId="22" xfId="0" applyNumberFormat="1" applyFont="1" applyFill="1" applyBorder="1" applyAlignment="1">
      <alignment horizontal="center" vertical="center"/>
    </xf>
    <xf numFmtId="9" fontId="22" fillId="2" borderId="33" xfId="0" applyNumberFormat="1" applyFont="1" applyFill="1" applyBorder="1" applyAlignment="1" applyProtection="1">
      <alignment horizontal="center" vertical="center"/>
      <protection locked="0"/>
    </xf>
    <xf numFmtId="0" fontId="3" fillId="2" borderId="0" xfId="0" applyFont="1" applyFill="1" applyAlignment="1">
      <alignment horizontal="center" vertical="center"/>
    </xf>
    <xf numFmtId="9" fontId="4" fillId="2" borderId="0" xfId="0" applyNumberFormat="1" applyFont="1" applyFill="1" applyAlignment="1">
      <alignment horizontal="center" vertical="center"/>
    </xf>
    <xf numFmtId="2" fontId="23" fillId="2" borderId="0" xfId="0" applyNumberFormat="1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" fontId="25" fillId="4" borderId="44" xfId="0" applyNumberFormat="1" applyFont="1" applyFill="1" applyBorder="1" applyAlignment="1">
      <alignment horizontal="center" vertical="center"/>
    </xf>
    <xf numFmtId="4" fontId="25" fillId="4" borderId="45" xfId="0" applyNumberFormat="1" applyFont="1" applyFill="1" applyBorder="1" applyAlignment="1">
      <alignment horizontal="center" vertical="center"/>
    </xf>
    <xf numFmtId="0" fontId="4" fillId="0" borderId="46" xfId="0" applyFont="1" applyBorder="1" applyAlignment="1">
      <alignment vertical="center"/>
    </xf>
    <xf numFmtId="0" fontId="4" fillId="0" borderId="47" xfId="0" applyFont="1" applyBorder="1" applyAlignment="1">
      <alignment vertical="center"/>
    </xf>
    <xf numFmtId="0" fontId="4" fillId="0" borderId="48" xfId="0" applyFont="1" applyBorder="1" applyAlignment="1">
      <alignment vertical="center"/>
    </xf>
    <xf numFmtId="4" fontId="1" fillId="0" borderId="49" xfId="0" applyNumberFormat="1" applyFont="1" applyBorder="1" applyAlignment="1">
      <alignment horizontal="center" vertical="center"/>
    </xf>
    <xf numFmtId="0" fontId="4" fillId="0" borderId="50" xfId="0" applyFont="1" applyBorder="1"/>
    <xf numFmtId="0" fontId="6" fillId="0" borderId="22" xfId="0" applyFont="1" applyBorder="1" applyAlignment="1">
      <alignment horizontal="center" vertical="center" wrapText="1"/>
    </xf>
    <xf numFmtId="0" fontId="6" fillId="2" borderId="42" xfId="0" applyFont="1" applyFill="1" applyBorder="1" applyAlignment="1" applyProtection="1">
      <alignment horizontal="center" vertical="center" wrapText="1"/>
      <protection locked="0"/>
    </xf>
    <xf numFmtId="4" fontId="1" fillId="0" borderId="52" xfId="0" applyNumberFormat="1" applyFont="1" applyBorder="1" applyAlignment="1">
      <alignment horizontal="center" vertical="center"/>
    </xf>
    <xf numFmtId="0" fontId="4" fillId="0" borderId="51" xfId="0" applyFont="1" applyBorder="1" applyAlignment="1">
      <alignment vertical="center"/>
    </xf>
    <xf numFmtId="0" fontId="4" fillId="0" borderId="53" xfId="0" applyFont="1" applyBorder="1"/>
    <xf numFmtId="4" fontId="1" fillId="0" borderId="51" xfId="0" applyNumberFormat="1" applyFont="1" applyBorder="1" applyAlignment="1">
      <alignment horizontal="center" vertical="center"/>
    </xf>
    <xf numFmtId="15" fontId="4" fillId="0" borderId="6" xfId="0" applyNumberFormat="1" applyFont="1" applyBorder="1" applyAlignment="1">
      <alignment horizontal="center" vertical="center"/>
    </xf>
    <xf numFmtId="0" fontId="12" fillId="0" borderId="31" xfId="0" applyFont="1" applyBorder="1" applyAlignment="1" applyProtection="1">
      <alignment horizontal="center" vertical="center"/>
      <protection locked="0"/>
    </xf>
    <xf numFmtId="0" fontId="16" fillId="3" borderId="0" xfId="0" applyFont="1" applyFill="1" applyAlignment="1">
      <alignment horizontal="center" vertical="center" wrapText="1"/>
    </xf>
    <xf numFmtId="15" fontId="17" fillId="0" borderId="39" xfId="0" applyNumberFormat="1" applyFont="1" applyBorder="1" applyAlignment="1" applyProtection="1">
      <alignment horizontal="center" vertical="center"/>
      <protection locked="0"/>
    </xf>
    <xf numFmtId="15" fontId="17" fillId="0" borderId="40" xfId="0" applyNumberFormat="1" applyFont="1" applyBorder="1" applyAlignment="1" applyProtection="1">
      <alignment horizontal="center" vertical="center"/>
      <protection locked="0"/>
    </xf>
    <xf numFmtId="15" fontId="17" fillId="0" borderId="37" xfId="0" applyNumberFormat="1" applyFont="1" applyBorder="1" applyAlignment="1" applyProtection="1">
      <alignment horizontal="center" vertical="center"/>
      <protection locked="0"/>
    </xf>
    <xf numFmtId="15" fontId="17" fillId="0" borderId="41" xfId="0" applyNumberFormat="1" applyFont="1" applyBorder="1" applyAlignment="1" applyProtection="1">
      <alignment horizontal="center" vertical="center"/>
      <protection locked="0"/>
    </xf>
    <xf numFmtId="49" fontId="17" fillId="4" borderId="2" xfId="0" applyNumberFormat="1" applyFont="1" applyFill="1" applyBorder="1" applyAlignment="1" applyProtection="1">
      <alignment horizontal="center" vertical="center"/>
      <protection locked="0"/>
    </xf>
    <xf numFmtId="49" fontId="17" fillId="4" borderId="3" xfId="0" applyNumberFormat="1" applyFont="1" applyFill="1" applyBorder="1" applyAlignment="1" applyProtection="1">
      <alignment horizontal="center" vertical="center"/>
      <protection locked="0"/>
    </xf>
    <xf numFmtId="49" fontId="17" fillId="4" borderId="4" xfId="0" applyNumberFormat="1" applyFont="1" applyFill="1" applyBorder="1" applyAlignment="1" applyProtection="1">
      <alignment horizontal="center" vertical="center"/>
      <protection locked="0"/>
    </xf>
    <xf numFmtId="49" fontId="17" fillId="4" borderId="13" xfId="0" applyNumberFormat="1" applyFont="1" applyFill="1" applyBorder="1" applyAlignment="1" applyProtection="1">
      <alignment horizontal="center" vertical="center"/>
      <protection locked="0"/>
    </xf>
    <xf numFmtId="49" fontId="17" fillId="4" borderId="14" xfId="0" applyNumberFormat="1" applyFont="1" applyFill="1" applyBorder="1" applyAlignment="1" applyProtection="1">
      <alignment horizontal="center" vertical="center"/>
      <protection locked="0"/>
    </xf>
    <xf numFmtId="49" fontId="17" fillId="4" borderId="15" xfId="0" applyNumberFormat="1" applyFont="1" applyFill="1" applyBorder="1" applyAlignment="1" applyProtection="1">
      <alignment horizontal="center" vertical="center"/>
      <protection locked="0"/>
    </xf>
    <xf numFmtId="0" fontId="17" fillId="4" borderId="2" xfId="0" applyFont="1" applyFill="1" applyBorder="1" applyAlignment="1" applyProtection="1">
      <alignment horizontal="center" vertical="center"/>
      <protection locked="0"/>
    </xf>
    <xf numFmtId="0" fontId="17" fillId="4" borderId="3" xfId="0" applyFont="1" applyFill="1" applyBorder="1" applyAlignment="1" applyProtection="1">
      <alignment horizontal="center" vertical="center"/>
      <protection locked="0"/>
    </xf>
    <xf numFmtId="0" fontId="17" fillId="4" borderId="4" xfId="0" applyFont="1" applyFill="1" applyBorder="1" applyAlignment="1" applyProtection="1">
      <alignment horizontal="center" vertical="center"/>
      <protection locked="0"/>
    </xf>
    <xf numFmtId="3" fontId="1" fillId="2" borderId="2" xfId="0" applyNumberFormat="1" applyFont="1" applyFill="1" applyBorder="1" applyAlignment="1">
      <alignment horizontal="center" vertical="center"/>
    </xf>
    <xf numFmtId="3" fontId="1" fillId="2" borderId="3" xfId="0" applyNumberFormat="1" applyFont="1" applyFill="1" applyBorder="1" applyAlignment="1">
      <alignment horizontal="center" vertical="center"/>
    </xf>
    <xf numFmtId="3" fontId="1" fillId="2" borderId="4" xfId="0" applyNumberFormat="1" applyFont="1" applyFill="1" applyBorder="1" applyAlignment="1">
      <alignment horizontal="center" vertical="center"/>
    </xf>
    <xf numFmtId="3" fontId="17" fillId="4" borderId="2" xfId="0" applyNumberFormat="1" applyFont="1" applyFill="1" applyBorder="1" applyAlignment="1" applyProtection="1">
      <alignment horizontal="center" vertical="center"/>
      <protection locked="0"/>
    </xf>
    <xf numFmtId="3" fontId="17" fillId="4" borderId="3" xfId="0" applyNumberFormat="1" applyFont="1" applyFill="1" applyBorder="1" applyAlignment="1" applyProtection="1">
      <alignment horizontal="center" vertical="center"/>
      <protection locked="0"/>
    </xf>
    <xf numFmtId="3" fontId="17" fillId="4" borderId="4" xfId="0" applyNumberFormat="1" applyFont="1" applyFill="1" applyBorder="1" applyAlignment="1" applyProtection="1">
      <alignment horizontal="center" vertical="center"/>
      <protection locked="0"/>
    </xf>
    <xf numFmtId="0" fontId="13" fillId="5" borderId="54" xfId="0" applyFont="1" applyFill="1" applyBorder="1" applyAlignment="1">
      <alignment horizontal="center" vertical="center"/>
    </xf>
    <xf numFmtId="0" fontId="13" fillId="5" borderId="55" xfId="0" applyFont="1" applyFill="1" applyBorder="1" applyAlignment="1">
      <alignment horizontal="center" vertical="center"/>
    </xf>
    <xf numFmtId="0" fontId="13" fillId="5" borderId="56" xfId="0" applyFont="1" applyFill="1" applyBorder="1" applyAlignment="1">
      <alignment horizontal="center" vertical="center"/>
    </xf>
    <xf numFmtId="0" fontId="14" fillId="3" borderId="23" xfId="0" applyFont="1" applyFill="1" applyBorder="1" applyAlignment="1">
      <alignment horizontal="center" vertical="center" wrapText="1"/>
    </xf>
    <xf numFmtId="0" fontId="11" fillId="3" borderId="0" xfId="0" applyFont="1" applyFill="1" applyAlignment="1">
      <alignment horizontal="center" vertical="center"/>
    </xf>
    <xf numFmtId="0" fontId="11" fillId="3" borderId="8" xfId="0" applyFont="1" applyFill="1" applyBorder="1" applyAlignment="1">
      <alignment horizontal="center" vertical="center"/>
    </xf>
    <xf numFmtId="0" fontId="11" fillId="3" borderId="17" xfId="0" applyFont="1" applyFill="1" applyBorder="1" applyAlignment="1">
      <alignment horizontal="center" vertical="center"/>
    </xf>
    <xf numFmtId="0" fontId="11" fillId="3" borderId="18" xfId="0" applyFont="1" applyFill="1" applyBorder="1" applyAlignment="1">
      <alignment horizontal="center" vertical="center"/>
    </xf>
  </cellXfs>
  <cellStyles count="1">
    <cellStyle name="Normal" xfId="0" builtinId="0"/>
  </cellStyles>
  <dxfs count="118">
    <dxf>
      <font>
        <b val="0"/>
        <i val="0"/>
        <color theme="0" tint="-0.499984740745262"/>
      </font>
      <fill>
        <patternFill>
          <bgColor theme="2"/>
        </patternFill>
      </fill>
    </dxf>
    <dxf>
      <font>
        <b val="0"/>
        <i val="0"/>
        <color theme="0" tint="-0.499984740745262"/>
      </font>
      <fill>
        <patternFill>
          <bgColor theme="2"/>
        </patternFill>
      </fill>
    </dxf>
    <dxf>
      <font>
        <b val="0"/>
        <i val="0"/>
        <color theme="0" tint="-0.499984740745262"/>
      </font>
      <fill>
        <patternFill>
          <bgColor theme="2"/>
        </patternFill>
      </fill>
    </dxf>
    <dxf>
      <font>
        <b val="0"/>
        <i val="0"/>
        <color theme="0" tint="-0.499984740745262"/>
      </font>
      <fill>
        <patternFill>
          <bgColor theme="2"/>
        </patternFill>
      </fill>
    </dxf>
    <dxf>
      <font>
        <b val="0"/>
        <i val="0"/>
        <color theme="0" tint="-0.499984740745262"/>
      </font>
      <fill>
        <patternFill>
          <bgColor theme="2"/>
        </patternFill>
      </fill>
    </dxf>
    <dxf>
      <font>
        <b val="0"/>
        <i val="0"/>
        <color theme="0" tint="-0.499984740745262"/>
      </font>
      <fill>
        <patternFill>
          <bgColor theme="2"/>
        </patternFill>
      </fill>
    </dxf>
    <dxf>
      <font>
        <b val="0"/>
        <i val="0"/>
        <color theme="0" tint="-0.499984740745262"/>
      </font>
      <fill>
        <patternFill>
          <bgColor theme="2"/>
        </patternFill>
      </fill>
    </dxf>
    <dxf>
      <font>
        <b val="0"/>
        <i val="0"/>
        <color theme="0" tint="-0.499984740745262"/>
      </font>
      <fill>
        <patternFill>
          <bgColor theme="2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fgColor auto="1"/>
          <bgColor rgb="FFFFC7CE"/>
        </patternFill>
      </fill>
    </dxf>
    <dxf>
      <font>
        <b/>
        <i val="0"/>
        <color rgb="FFFF0000"/>
      </font>
      <fill>
        <patternFill>
          <fgColor auto="1"/>
          <bgColor rgb="FFFFC7CE"/>
        </patternFill>
      </fill>
    </dxf>
    <dxf>
      <font>
        <b/>
        <i val="0"/>
        <color rgb="FFFF0000"/>
      </font>
      <fill>
        <patternFill>
          <fgColor auto="1"/>
          <bgColor rgb="FFFFC7CE"/>
        </patternFill>
      </fill>
    </dxf>
    <dxf>
      <font>
        <b/>
        <i val="0"/>
        <color rgb="FFFF0000"/>
      </font>
      <fill>
        <patternFill>
          <fgColor auto="1"/>
          <bgColor rgb="FFFFC7CE"/>
        </patternFill>
      </fill>
    </dxf>
    <dxf>
      <font>
        <b/>
        <i val="0"/>
        <color rgb="FFFF0000"/>
      </font>
      <fill>
        <patternFill>
          <fgColor auto="1"/>
          <bgColor rgb="FFFFC7CE"/>
        </patternFill>
      </fill>
    </dxf>
    <dxf>
      <font>
        <b/>
        <i val="0"/>
        <color rgb="FFFF0000"/>
      </font>
      <fill>
        <patternFill>
          <fgColor auto="1"/>
          <bgColor rgb="FFFFC7CE"/>
        </patternFill>
      </fill>
    </dxf>
    <dxf>
      <font>
        <b/>
        <i val="0"/>
        <color rgb="FFFF0000"/>
      </font>
      <fill>
        <patternFill>
          <fgColor auto="1"/>
          <bgColor rgb="FFFFC7CE"/>
        </patternFill>
      </fill>
    </dxf>
    <dxf>
      <font>
        <b/>
        <i val="0"/>
        <color rgb="FFFF0000"/>
      </font>
      <fill>
        <patternFill>
          <fgColor auto="1"/>
          <bgColor rgb="FFFFC7CE"/>
        </patternFill>
      </fill>
    </dxf>
    <dxf>
      <font>
        <b val="0"/>
        <i val="0"/>
        <color theme="0" tint="-0.499984740745262"/>
      </font>
      <fill>
        <patternFill>
          <bgColor theme="2"/>
        </patternFill>
      </fill>
    </dxf>
    <dxf>
      <font>
        <b val="0"/>
        <i val="0"/>
        <color theme="0" tint="-0.499984740745262"/>
      </font>
      <fill>
        <patternFill>
          <bgColor theme="2"/>
        </patternFill>
      </fill>
    </dxf>
    <dxf>
      <font>
        <b val="0"/>
        <i val="0"/>
        <color theme="0" tint="-0.499984740745262"/>
      </font>
      <fill>
        <patternFill>
          <bgColor theme="2"/>
        </patternFill>
      </fill>
    </dxf>
    <dxf>
      <font>
        <b val="0"/>
        <i val="0"/>
        <color theme="0" tint="-0.499984740745262"/>
      </font>
      <fill>
        <patternFill>
          <bgColor theme="2"/>
        </patternFill>
      </fill>
    </dxf>
    <dxf>
      <font>
        <b val="0"/>
        <i val="0"/>
        <color theme="0" tint="-0.499984740745262"/>
      </font>
      <fill>
        <patternFill>
          <bgColor theme="2"/>
        </patternFill>
      </fill>
    </dxf>
    <dxf>
      <font>
        <b val="0"/>
        <i val="0"/>
        <color theme="0" tint="-0.499984740745262"/>
      </font>
      <fill>
        <patternFill>
          <bgColor theme="2"/>
        </patternFill>
      </fill>
    </dxf>
    <dxf>
      <font>
        <b val="0"/>
        <i val="0"/>
        <color theme="0" tint="-0.499984740745262"/>
      </font>
      <fill>
        <patternFill>
          <bgColor theme="2"/>
        </patternFill>
      </fill>
    </dxf>
    <dxf>
      <font>
        <b val="0"/>
        <i val="0"/>
        <color theme="0" tint="-0.499984740745262"/>
      </font>
      <fill>
        <patternFill>
          <bgColor theme="2"/>
        </patternFill>
      </fill>
    </dxf>
    <dxf>
      <font>
        <b val="0"/>
        <i val="0"/>
        <color theme="0" tint="-0.499984740745262"/>
      </font>
      <fill>
        <patternFill>
          <bgColor theme="2"/>
        </patternFill>
      </fill>
    </dxf>
    <dxf>
      <font>
        <b val="0"/>
        <i val="0"/>
        <color theme="0" tint="-0.499984740745262"/>
      </font>
      <fill>
        <patternFill>
          <bgColor theme="2"/>
        </patternFill>
      </fill>
    </dxf>
    <dxf>
      <font>
        <b val="0"/>
        <i val="0"/>
        <color theme="0" tint="-0.499984740745262"/>
      </font>
      <fill>
        <patternFill>
          <bgColor theme="2"/>
        </patternFill>
      </fill>
    </dxf>
    <dxf>
      <font>
        <b val="0"/>
        <i val="0"/>
        <color theme="0" tint="-0.499984740745262"/>
      </font>
      <fill>
        <patternFill>
          <bgColor theme="2"/>
        </patternFill>
      </fill>
    </dxf>
    <dxf>
      <font>
        <b val="0"/>
        <i val="0"/>
        <color theme="0" tint="-0.499984740745262"/>
      </font>
      <fill>
        <patternFill>
          <bgColor theme="2"/>
        </patternFill>
      </fill>
    </dxf>
    <dxf>
      <font>
        <b val="0"/>
        <i val="0"/>
        <color theme="0" tint="-0.499984740745262"/>
      </font>
      <fill>
        <patternFill>
          <bgColor theme="2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FF0000"/>
      </font>
      <fill>
        <patternFill>
          <bgColor rgb="FFFFC7CE"/>
        </patternFill>
      </fill>
    </dxf>
    <dxf>
      <font>
        <b/>
        <i val="0"/>
        <color rgb="FFFF0000"/>
      </font>
      <fill>
        <patternFill>
          <fgColor auto="1"/>
          <bgColor rgb="FFFFC7CE"/>
        </patternFill>
      </fill>
    </dxf>
    <dxf>
      <font>
        <b val="0"/>
        <i val="0"/>
        <color theme="0" tint="-0.499984740745262"/>
      </font>
      <fill>
        <patternFill>
          <bgColor theme="2"/>
        </patternFill>
      </fill>
    </dxf>
    <dxf>
      <font>
        <b val="0"/>
        <i val="0"/>
        <color theme="0" tint="-0.499984740745262"/>
      </font>
      <fill>
        <patternFill>
          <bgColor theme="2"/>
        </patternFill>
      </fill>
    </dxf>
    <dxf>
      <font>
        <b val="0"/>
        <i val="0"/>
        <color theme="0" tint="-0.499984740745262"/>
      </font>
      <fill>
        <patternFill>
          <bgColor theme="2"/>
        </patternFill>
      </fill>
    </dxf>
    <dxf>
      <font>
        <b val="0"/>
        <i val="0"/>
        <color theme="0" tint="-0.499984740745262"/>
      </font>
      <fill>
        <patternFill>
          <bgColor theme="2"/>
        </patternFill>
      </fill>
    </dxf>
    <dxf>
      <font>
        <b val="0"/>
        <i val="0"/>
        <color theme="0" tint="-0.499984740745262"/>
      </font>
      <fill>
        <patternFill>
          <bgColor theme="2"/>
        </patternFill>
      </fill>
    </dxf>
    <dxf>
      <font>
        <b val="0"/>
        <i val="0"/>
        <color theme="0" tint="-0.499984740745262"/>
      </font>
      <fill>
        <patternFill>
          <bgColor theme="2"/>
        </patternFill>
      </fill>
    </dxf>
    <dxf>
      <font>
        <b val="0"/>
        <i val="0"/>
        <color theme="0" tint="-0.499984740745262"/>
      </font>
      <fill>
        <patternFill>
          <bgColor theme="2"/>
        </patternFill>
      </fill>
    </dxf>
    <dxf>
      <font>
        <b val="0"/>
        <i val="0"/>
        <color theme="0" tint="-0.499984740745262"/>
      </font>
      <fill>
        <patternFill>
          <bgColor theme="2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fgColor auto="1"/>
          <bgColor rgb="FFFFC7CE"/>
        </patternFill>
      </fill>
    </dxf>
    <dxf>
      <font>
        <b/>
        <i val="0"/>
        <color rgb="FFFF0000"/>
      </font>
      <fill>
        <patternFill>
          <fgColor auto="1"/>
          <bgColor rgb="FFFFC7CE"/>
        </patternFill>
      </fill>
    </dxf>
    <dxf>
      <font>
        <b/>
        <i val="0"/>
        <color rgb="FFFF0000"/>
      </font>
      <fill>
        <patternFill>
          <fgColor auto="1"/>
          <bgColor rgb="FFFFC7CE"/>
        </patternFill>
      </fill>
    </dxf>
    <dxf>
      <font>
        <b/>
        <i val="0"/>
        <color rgb="FFFF0000"/>
      </font>
      <fill>
        <patternFill>
          <fgColor auto="1"/>
          <bgColor rgb="FFFFC7CE"/>
        </patternFill>
      </fill>
    </dxf>
    <dxf>
      <font>
        <b/>
        <i val="0"/>
        <color rgb="FFFF0000"/>
      </font>
      <fill>
        <patternFill>
          <fgColor auto="1"/>
          <bgColor rgb="FFFFC7CE"/>
        </patternFill>
      </fill>
    </dxf>
    <dxf>
      <font>
        <b/>
        <i val="0"/>
        <color rgb="FFFF0000"/>
      </font>
      <fill>
        <patternFill>
          <fgColor auto="1"/>
          <bgColor rgb="FFFFC7CE"/>
        </patternFill>
      </fill>
    </dxf>
    <dxf>
      <font>
        <b/>
        <i val="0"/>
        <color rgb="FFFF0000"/>
      </font>
      <fill>
        <patternFill>
          <fgColor auto="1"/>
          <bgColor rgb="FFFFC7CE"/>
        </patternFill>
      </fill>
    </dxf>
    <dxf>
      <font>
        <b val="0"/>
        <i val="0"/>
        <color theme="0" tint="-0.499984740745262"/>
      </font>
      <fill>
        <patternFill>
          <bgColor theme="2"/>
        </patternFill>
      </fill>
    </dxf>
    <dxf>
      <font>
        <b val="0"/>
        <i val="0"/>
        <color theme="0" tint="-0.499984740745262"/>
      </font>
      <fill>
        <patternFill>
          <bgColor theme="2"/>
        </patternFill>
      </fill>
    </dxf>
    <dxf>
      <font>
        <b val="0"/>
        <i val="0"/>
        <color theme="0" tint="-0.499984740745262"/>
      </font>
      <fill>
        <patternFill>
          <bgColor theme="2"/>
        </patternFill>
      </fill>
    </dxf>
    <dxf>
      <font>
        <b val="0"/>
        <i val="0"/>
        <color theme="0" tint="-0.499984740745262"/>
      </font>
      <fill>
        <patternFill>
          <bgColor theme="2"/>
        </patternFill>
      </fill>
    </dxf>
    <dxf>
      <font>
        <b val="0"/>
        <i val="0"/>
        <color theme="0" tint="-0.499984740745262"/>
      </font>
      <fill>
        <patternFill>
          <bgColor theme="2"/>
        </patternFill>
      </fill>
    </dxf>
    <dxf>
      <font>
        <b val="0"/>
        <i val="0"/>
        <color theme="0" tint="-0.499984740745262"/>
      </font>
      <fill>
        <patternFill>
          <bgColor theme="2"/>
        </patternFill>
      </fill>
    </dxf>
    <dxf>
      <font>
        <b val="0"/>
        <i val="0"/>
        <color theme="0" tint="-0.499984740745262"/>
      </font>
      <fill>
        <patternFill>
          <bgColor theme="2"/>
        </patternFill>
      </fill>
    </dxf>
    <dxf>
      <font>
        <b val="0"/>
        <i val="0"/>
        <color theme="0" tint="-0.499984740745262"/>
      </font>
      <fill>
        <patternFill>
          <bgColor theme="2"/>
        </patternFill>
      </fill>
    </dxf>
    <dxf>
      <font>
        <b val="0"/>
        <i val="0"/>
        <color theme="0" tint="-0.499984740745262"/>
      </font>
      <fill>
        <patternFill>
          <bgColor theme="2"/>
        </patternFill>
      </fill>
    </dxf>
    <dxf>
      <font>
        <b val="0"/>
        <i val="0"/>
        <color theme="0" tint="-0.499984740745262"/>
      </font>
      <fill>
        <patternFill>
          <bgColor theme="2"/>
        </patternFill>
      </fill>
    </dxf>
    <dxf>
      <font>
        <b val="0"/>
        <i val="0"/>
        <color theme="0" tint="-0.499984740745262"/>
      </font>
      <fill>
        <patternFill>
          <bgColor theme="2"/>
        </patternFill>
      </fill>
    </dxf>
    <dxf>
      <font>
        <b val="0"/>
        <i val="0"/>
        <color theme="0" tint="-0.499984740745262"/>
      </font>
      <fill>
        <patternFill>
          <bgColor theme="2"/>
        </patternFill>
      </fill>
    </dxf>
    <dxf>
      <font>
        <b val="0"/>
        <i val="0"/>
        <color theme="0" tint="-0.499984740745262"/>
      </font>
      <fill>
        <patternFill>
          <bgColor theme="2"/>
        </patternFill>
      </fill>
    </dxf>
    <dxf>
      <font>
        <b val="0"/>
        <i val="0"/>
        <color theme="0" tint="-0.499984740745262"/>
      </font>
      <fill>
        <patternFill>
          <bgColor theme="2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FF0000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D9D7D7"/>
      <color rgb="FFFFC7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– 2022 T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C97599-C847-3448-B3D4-42AEFA81B491}">
  <sheetPr codeName="Ark1"/>
  <dimension ref="A1:I197"/>
  <sheetViews>
    <sheetView topLeftCell="A13" workbookViewId="0">
      <selection activeCell="A26" sqref="A26"/>
    </sheetView>
  </sheetViews>
  <sheetFormatPr baseColWidth="10" defaultRowHeight="16" x14ac:dyDescent="0.2"/>
  <cols>
    <col min="1" max="1" width="37.1640625" customWidth="1"/>
    <col min="2" max="2" width="36.1640625" style="5" customWidth="1"/>
    <col min="3" max="3" width="21.83203125" style="5" customWidth="1"/>
    <col min="4" max="5" width="19.6640625" style="5" customWidth="1"/>
    <col min="6" max="9" width="16.6640625" style="5" customWidth="1"/>
  </cols>
  <sheetData>
    <row r="1" spans="1:7" ht="17" thickBot="1" x14ac:dyDescent="0.25"/>
    <row r="2" spans="1:7" ht="21" customHeight="1" thickBot="1" x14ac:dyDescent="0.25">
      <c r="A2" s="45" t="s">
        <v>104</v>
      </c>
      <c r="B2" s="50">
        <f ca="1">TODAY()</f>
        <v>45565</v>
      </c>
      <c r="C2" s="51"/>
      <c r="D2" s="5">
        <f ca="1">YEAR(B2)</f>
        <v>2024</v>
      </c>
      <c r="E2" s="5">
        <v>2025</v>
      </c>
      <c r="F2" s="5">
        <v>2026</v>
      </c>
    </row>
    <row r="4" spans="1:7" x14ac:dyDescent="0.2">
      <c r="A4" s="9" t="s">
        <v>45</v>
      </c>
      <c r="E4" s="5">
        <v>2025</v>
      </c>
      <c r="F4" s="5">
        <v>2026</v>
      </c>
    </row>
    <row r="5" spans="1:7" x14ac:dyDescent="0.2">
      <c r="E5" s="52">
        <v>2.5000000000000001E-2</v>
      </c>
      <c r="F5" s="52">
        <v>2.5000000000000001E-2</v>
      </c>
      <c r="G5" s="52"/>
    </row>
    <row r="6" spans="1:7" x14ac:dyDescent="0.2">
      <c r="A6" s="1" t="s">
        <v>0</v>
      </c>
      <c r="B6" s="43" t="s">
        <v>1</v>
      </c>
      <c r="E6" s="7" t="s">
        <v>1</v>
      </c>
      <c r="F6" s="7" t="s">
        <v>1</v>
      </c>
    </row>
    <row r="7" spans="1:7" x14ac:dyDescent="0.2">
      <c r="A7" s="3" t="s">
        <v>2</v>
      </c>
      <c r="B7" s="7"/>
      <c r="E7" s="42"/>
      <c r="F7" s="42"/>
    </row>
    <row r="8" spans="1:7" x14ac:dyDescent="0.2">
      <c r="A8" s="3" t="s">
        <v>3</v>
      </c>
      <c r="B8" s="7"/>
      <c r="E8" s="42"/>
      <c r="F8" s="42"/>
    </row>
    <row r="9" spans="1:7" x14ac:dyDescent="0.2">
      <c r="A9" s="3" t="s">
        <v>4</v>
      </c>
      <c r="B9" s="7"/>
      <c r="E9" s="42"/>
      <c r="F9" s="42"/>
    </row>
    <row r="10" spans="1:7" x14ac:dyDescent="0.2">
      <c r="A10" s="3" t="s">
        <v>5</v>
      </c>
      <c r="B10" s="7"/>
      <c r="E10" s="42"/>
      <c r="F10" s="42"/>
    </row>
    <row r="11" spans="1:7" x14ac:dyDescent="0.2">
      <c r="A11" s="3" t="s">
        <v>44</v>
      </c>
      <c r="B11" s="7"/>
      <c r="E11" s="42"/>
      <c r="F11" s="42"/>
    </row>
    <row r="12" spans="1:7" x14ac:dyDescent="0.2">
      <c r="A12" s="1" t="s">
        <v>6</v>
      </c>
      <c r="B12" s="43" cm="1">
        <f t="array" aca="1" ref="B12" ca="1">_xlfn.IFS($D$2=2024,D12,$D$2=2025,E12,$D$2=2026,F12,$D$2=2027,"2027 beregner kræves")</f>
        <v>4100</v>
      </c>
      <c r="D12" s="5">
        <v>4100</v>
      </c>
      <c r="E12" s="42">
        <f>D12*$E$5+D12</f>
        <v>4202.5</v>
      </c>
      <c r="F12" s="42">
        <f>E12*$F$5+E12</f>
        <v>4307.5625</v>
      </c>
      <c r="G12" s="42"/>
    </row>
    <row r="13" spans="1:7" x14ac:dyDescent="0.2">
      <c r="A13" s="4" t="s">
        <v>115</v>
      </c>
      <c r="B13" s="7"/>
      <c r="E13" s="42"/>
      <c r="F13" s="42"/>
    </row>
    <row r="14" spans="1:7" x14ac:dyDescent="0.2">
      <c r="A14" s="4" t="s">
        <v>7</v>
      </c>
      <c r="B14" s="7"/>
      <c r="E14" s="42"/>
      <c r="F14" s="42"/>
    </row>
    <row r="15" spans="1:7" x14ac:dyDescent="0.2">
      <c r="A15" s="4" t="s">
        <v>8</v>
      </c>
      <c r="B15" s="7"/>
      <c r="E15" s="42"/>
      <c r="F15" s="42"/>
    </row>
    <row r="16" spans="1:7" x14ac:dyDescent="0.2">
      <c r="A16" s="2" t="s">
        <v>9</v>
      </c>
      <c r="B16" s="7"/>
      <c r="E16" s="42"/>
      <c r="F16" s="42"/>
    </row>
    <row r="17" spans="1:6" x14ac:dyDescent="0.2">
      <c r="A17" s="2" t="s">
        <v>10</v>
      </c>
      <c r="B17" s="7"/>
      <c r="E17" s="42"/>
      <c r="F17" s="42"/>
    </row>
    <row r="18" spans="1:6" x14ac:dyDescent="0.2">
      <c r="A18" s="2" t="s">
        <v>11</v>
      </c>
      <c r="B18" s="7"/>
      <c r="E18" s="42"/>
      <c r="F18" s="42"/>
    </row>
    <row r="19" spans="1:6" x14ac:dyDescent="0.2">
      <c r="A19" s="2" t="s">
        <v>12</v>
      </c>
      <c r="B19" s="53"/>
      <c r="E19" s="42"/>
      <c r="F19" s="42"/>
    </row>
    <row r="20" spans="1:6" x14ac:dyDescent="0.2">
      <c r="A20" s="2" t="s">
        <v>13</v>
      </c>
      <c r="B20" s="7"/>
      <c r="E20" s="42"/>
      <c r="F20" s="42"/>
    </row>
    <row r="21" spans="1:6" x14ac:dyDescent="0.2">
      <c r="A21" s="2" t="s">
        <v>14</v>
      </c>
      <c r="B21" s="7"/>
      <c r="E21" s="42"/>
      <c r="F21" s="42"/>
    </row>
    <row r="22" spans="1:6" x14ac:dyDescent="0.2">
      <c r="A22" s="2" t="s">
        <v>15</v>
      </c>
      <c r="B22" s="7"/>
      <c r="E22" s="42"/>
      <c r="F22" s="42"/>
    </row>
    <row r="23" spans="1:6" x14ac:dyDescent="0.2">
      <c r="A23" s="1" t="s">
        <v>16</v>
      </c>
      <c r="B23" s="43" cm="1">
        <f t="array" aca="1" ref="B23" ca="1">_xlfn.IFS($D$2=2024,D23,$D$2=2025,E23,$D$2=2026,F23,$D$2=2027,"2027 beregner kræves")</f>
        <v>3300</v>
      </c>
      <c r="D23" s="5">
        <v>3300</v>
      </c>
      <c r="E23" s="42">
        <f>D23*$E$5+D23</f>
        <v>3382.5</v>
      </c>
      <c r="F23" s="42">
        <f>E23*$F$5+E23</f>
        <v>3467.0625</v>
      </c>
    </row>
    <row r="24" spans="1:6" x14ac:dyDescent="0.2">
      <c r="A24" s="4" t="s">
        <v>17</v>
      </c>
      <c r="B24" s="7"/>
      <c r="E24" s="42"/>
      <c r="F24" s="42"/>
    </row>
    <row r="25" spans="1:6" x14ac:dyDescent="0.2">
      <c r="A25" s="4" t="s">
        <v>135</v>
      </c>
      <c r="B25" s="7"/>
      <c r="E25" s="42"/>
      <c r="F25" s="42"/>
    </row>
    <row r="26" spans="1:6" x14ac:dyDescent="0.2">
      <c r="A26" s="4" t="s">
        <v>18</v>
      </c>
      <c r="B26" s="7"/>
      <c r="E26" s="42"/>
      <c r="F26" s="42"/>
    </row>
    <row r="27" spans="1:6" x14ac:dyDescent="0.2">
      <c r="A27" s="2" t="s">
        <v>19</v>
      </c>
      <c r="B27" s="7"/>
      <c r="E27" s="42"/>
      <c r="F27" s="42"/>
    </row>
    <row r="28" spans="1:6" x14ac:dyDescent="0.2">
      <c r="A28" s="2" t="s">
        <v>20</v>
      </c>
      <c r="B28" s="7"/>
      <c r="E28" s="42"/>
      <c r="F28" s="42"/>
    </row>
    <row r="29" spans="1:6" x14ac:dyDescent="0.2">
      <c r="A29" s="2" t="s">
        <v>21</v>
      </c>
      <c r="B29" s="7"/>
      <c r="E29" s="42"/>
      <c r="F29" s="42"/>
    </row>
    <row r="30" spans="1:6" x14ac:dyDescent="0.2">
      <c r="A30" s="2" t="s">
        <v>22</v>
      </c>
      <c r="B30" s="7"/>
      <c r="E30" s="42"/>
      <c r="F30" s="42"/>
    </row>
    <row r="31" spans="1:6" x14ac:dyDescent="0.2">
      <c r="A31" s="2" t="s">
        <v>23</v>
      </c>
      <c r="B31" s="7"/>
      <c r="E31" s="42"/>
      <c r="F31" s="42"/>
    </row>
    <row r="32" spans="1:6" x14ac:dyDescent="0.2">
      <c r="A32" s="2" t="s">
        <v>24</v>
      </c>
      <c r="B32" s="7"/>
      <c r="E32" s="42"/>
      <c r="F32" s="42"/>
    </row>
    <row r="33" spans="1:6" x14ac:dyDescent="0.2">
      <c r="A33" s="2" t="s">
        <v>25</v>
      </c>
      <c r="B33" s="7"/>
      <c r="E33" s="42"/>
      <c r="F33" s="42"/>
    </row>
    <row r="34" spans="1:6" x14ac:dyDescent="0.2">
      <c r="A34" s="2" t="s">
        <v>26</v>
      </c>
      <c r="B34" s="7"/>
      <c r="E34" s="42"/>
      <c r="F34" s="42"/>
    </row>
    <row r="35" spans="1:6" x14ac:dyDescent="0.2">
      <c r="A35" s="2" t="s">
        <v>27</v>
      </c>
      <c r="B35" s="7"/>
      <c r="E35" s="42"/>
      <c r="F35" s="42"/>
    </row>
    <row r="36" spans="1:6" x14ac:dyDescent="0.2">
      <c r="A36" s="2" t="s">
        <v>28</v>
      </c>
      <c r="B36" s="7"/>
      <c r="E36" s="42"/>
      <c r="F36" s="42"/>
    </row>
    <row r="37" spans="1:6" x14ac:dyDescent="0.2">
      <c r="A37" s="1" t="s">
        <v>29</v>
      </c>
      <c r="B37" s="43" cm="1">
        <f t="array" aca="1" ref="B37" ca="1">_xlfn.IFS($D$2=2024,D37,$D$2=2025,E37,$D$2=2026,F37,$D$2=2027,"2027 beregner kræves")</f>
        <v>2750</v>
      </c>
      <c r="D37" s="5">
        <v>2750</v>
      </c>
      <c r="E37" s="42">
        <f>D37*$E$5+D37</f>
        <v>2818.75</v>
      </c>
      <c r="F37" s="42">
        <f>E37*$F$5+E37</f>
        <v>2889.21875</v>
      </c>
    </row>
    <row r="38" spans="1:6" x14ac:dyDescent="0.2">
      <c r="A38" s="4" t="s">
        <v>30</v>
      </c>
      <c r="B38" s="7"/>
      <c r="E38" s="42"/>
      <c r="F38" s="42"/>
    </row>
    <row r="39" spans="1:6" x14ac:dyDescent="0.2">
      <c r="A39" s="4" t="s">
        <v>31</v>
      </c>
      <c r="B39" s="7"/>
      <c r="E39" s="42"/>
      <c r="F39" s="42"/>
    </row>
    <row r="40" spans="1:6" x14ac:dyDescent="0.2">
      <c r="A40" s="2" t="s">
        <v>32</v>
      </c>
      <c r="B40" s="7"/>
      <c r="E40" s="42"/>
      <c r="F40" s="42"/>
    </row>
    <row r="41" spans="1:6" x14ac:dyDescent="0.2">
      <c r="A41" s="2" t="s">
        <v>33</v>
      </c>
      <c r="B41" s="7"/>
      <c r="E41" s="42"/>
      <c r="F41" s="42"/>
    </row>
    <row r="42" spans="1:6" x14ac:dyDescent="0.2">
      <c r="A42" s="2" t="s">
        <v>34</v>
      </c>
      <c r="B42" s="7"/>
      <c r="E42" s="42"/>
      <c r="F42" s="42"/>
    </row>
    <row r="43" spans="1:6" x14ac:dyDescent="0.2">
      <c r="A43" s="2" t="s">
        <v>35</v>
      </c>
      <c r="B43" s="7"/>
      <c r="E43" s="42"/>
      <c r="F43" s="42"/>
    </row>
    <row r="44" spans="1:6" x14ac:dyDescent="0.2">
      <c r="A44" s="4" t="s">
        <v>36</v>
      </c>
      <c r="B44" s="7"/>
      <c r="E44" s="42"/>
      <c r="F44" s="42"/>
    </row>
    <row r="45" spans="1:6" x14ac:dyDescent="0.2">
      <c r="A45" s="4" t="s">
        <v>37</v>
      </c>
      <c r="B45" s="7"/>
      <c r="E45" s="42"/>
      <c r="F45" s="42"/>
    </row>
    <row r="46" spans="1:6" x14ac:dyDescent="0.2">
      <c r="A46" s="4" t="s">
        <v>38</v>
      </c>
      <c r="B46" s="7"/>
      <c r="E46" s="42"/>
      <c r="F46" s="42"/>
    </row>
    <row r="47" spans="1:6" x14ac:dyDescent="0.2">
      <c r="A47" s="4" t="s">
        <v>39</v>
      </c>
      <c r="B47" s="7"/>
      <c r="E47" s="42"/>
      <c r="F47" s="42"/>
    </row>
    <row r="48" spans="1:6" x14ac:dyDescent="0.2">
      <c r="A48" s="2" t="s">
        <v>40</v>
      </c>
      <c r="B48" s="7"/>
      <c r="E48" s="42"/>
      <c r="F48" s="42"/>
    </row>
    <row r="49" spans="1:6" x14ac:dyDescent="0.2">
      <c r="A49" s="1" t="s">
        <v>41</v>
      </c>
      <c r="B49" s="43" cm="1">
        <f t="array" aca="1" ref="B49" ca="1">_xlfn.IFS($D$2=2024,D49,$D$2=2025,E49,$D$2=2026,F49,$D$2=2027,"2027 beregner kræves")</f>
        <v>1540</v>
      </c>
      <c r="D49" s="5">
        <v>1540</v>
      </c>
      <c r="E49" s="42">
        <f>D49*$E$5+D49</f>
        <v>1578.5</v>
      </c>
      <c r="F49" s="42">
        <f>E49*$F$5+E49</f>
        <v>1617.9625000000001</v>
      </c>
    </row>
    <row r="50" spans="1:6" x14ac:dyDescent="0.2">
      <c r="A50" s="3" t="s">
        <v>42</v>
      </c>
      <c r="B50" s="6"/>
    </row>
    <row r="51" spans="1:6" x14ac:dyDescent="0.2">
      <c r="A51" s="3" t="s">
        <v>43</v>
      </c>
      <c r="B51" s="6"/>
    </row>
    <row r="54" spans="1:6" x14ac:dyDescent="0.2">
      <c r="A54" s="9" t="s">
        <v>113</v>
      </c>
    </row>
    <row r="55" spans="1:6" ht="17" thickBot="1" x14ac:dyDescent="0.25">
      <c r="B55" s="5" t="s">
        <v>59</v>
      </c>
      <c r="C55" s="5" t="s">
        <v>60</v>
      </c>
      <c r="D55" s="5" t="s">
        <v>61</v>
      </c>
      <c r="E55" s="5" t="s">
        <v>62</v>
      </c>
    </row>
    <row r="56" spans="1:6" ht="17" thickBot="1" x14ac:dyDescent="0.25">
      <c r="A56" t="s">
        <v>57</v>
      </c>
      <c r="B56" s="38" t="s">
        <v>58</v>
      </c>
      <c r="C56" s="39">
        <v>0.25</v>
      </c>
      <c r="D56" s="39">
        <v>0.5</v>
      </c>
      <c r="E56" s="40">
        <v>0.75</v>
      </c>
    </row>
    <row r="58" spans="1:6" ht="17" thickBot="1" x14ac:dyDescent="0.25">
      <c r="B58" s="5" t="s">
        <v>59</v>
      </c>
      <c r="C58" s="5" t="s">
        <v>60</v>
      </c>
      <c r="D58" s="5" t="s">
        <v>61</v>
      </c>
      <c r="E58" s="5" t="s">
        <v>64</v>
      </c>
      <c r="F58" s="5" t="s">
        <v>65</v>
      </c>
    </row>
    <row r="59" spans="1:6" ht="17" thickBot="1" x14ac:dyDescent="0.25">
      <c r="A59" t="s">
        <v>63</v>
      </c>
      <c r="B59" s="38" t="s">
        <v>58</v>
      </c>
      <c r="C59" s="39">
        <v>0.25</v>
      </c>
      <c r="D59" s="39">
        <v>1</v>
      </c>
      <c r="E59" s="39">
        <v>1.5</v>
      </c>
      <c r="F59" s="40">
        <v>2</v>
      </c>
    </row>
    <row r="60" spans="1:6" x14ac:dyDescent="0.2">
      <c r="C60" s="8"/>
      <c r="D60" s="8"/>
      <c r="E60" s="8"/>
      <c r="F60" s="8"/>
    </row>
    <row r="61" spans="1:6" x14ac:dyDescent="0.2">
      <c r="C61" s="8"/>
      <c r="D61" s="8"/>
      <c r="E61" s="8"/>
      <c r="F61" s="8"/>
    </row>
    <row r="62" spans="1:6" x14ac:dyDescent="0.2">
      <c r="C62" s="8"/>
      <c r="D62" s="8"/>
      <c r="E62" s="8"/>
      <c r="F62" s="8"/>
    </row>
    <row r="63" spans="1:6" x14ac:dyDescent="0.2">
      <c r="C63" s="8"/>
      <c r="D63" s="8"/>
      <c r="E63" s="8"/>
      <c r="F63" s="8"/>
    </row>
    <row r="64" spans="1:6" x14ac:dyDescent="0.2">
      <c r="A64" s="9" t="s">
        <v>114</v>
      </c>
      <c r="F64" s="8"/>
    </row>
    <row r="65" spans="1:5" ht="17" thickBot="1" x14ac:dyDescent="0.25">
      <c r="B65" s="5" t="s">
        <v>59</v>
      </c>
      <c r="C65" s="5" t="s">
        <v>125</v>
      </c>
      <c r="D65" s="5" t="s">
        <v>126</v>
      </c>
    </row>
    <row r="66" spans="1:5" ht="17" thickBot="1" x14ac:dyDescent="0.25">
      <c r="A66" t="s">
        <v>63</v>
      </c>
      <c r="B66" s="47" t="s">
        <v>58</v>
      </c>
      <c r="C66" s="48">
        <v>200</v>
      </c>
      <c r="D66" s="49">
        <v>350</v>
      </c>
      <c r="E66" s="8"/>
    </row>
    <row r="67" spans="1:5" x14ac:dyDescent="0.2">
      <c r="C67" s="8"/>
      <c r="D67" s="8"/>
      <c r="E67" s="8"/>
    </row>
    <row r="69" spans="1:5" x14ac:dyDescent="0.2">
      <c r="A69" s="9" t="s">
        <v>66</v>
      </c>
    </row>
    <row r="70" spans="1:5" ht="17" thickBot="1" x14ac:dyDescent="0.25">
      <c r="A70" t="s">
        <v>73</v>
      </c>
    </row>
    <row r="71" spans="1:5" ht="17" thickBot="1" x14ac:dyDescent="0.25">
      <c r="A71" t="s">
        <v>67</v>
      </c>
      <c r="B71" s="33">
        <v>0.75</v>
      </c>
    </row>
    <row r="72" spans="1:5" ht="17" thickBot="1" x14ac:dyDescent="0.25">
      <c r="A72" t="s">
        <v>68</v>
      </c>
      <c r="B72" s="37">
        <v>1</v>
      </c>
    </row>
    <row r="75" spans="1:5" x14ac:dyDescent="0.2">
      <c r="A75" s="9" t="s">
        <v>69</v>
      </c>
    </row>
    <row r="76" spans="1:5" ht="17" thickBot="1" x14ac:dyDescent="0.25"/>
    <row r="77" spans="1:5" ht="17" thickBot="1" x14ac:dyDescent="0.25">
      <c r="A77" t="s">
        <v>70</v>
      </c>
      <c r="B77" s="33">
        <v>0.75</v>
      </c>
      <c r="C77" s="10" t="s">
        <v>100</v>
      </c>
    </row>
    <row r="80" spans="1:5" x14ac:dyDescent="0.2">
      <c r="A80" s="9" t="s">
        <v>112</v>
      </c>
    </row>
    <row r="81" spans="1:6" ht="17" thickBot="1" x14ac:dyDescent="0.25"/>
    <row r="82" spans="1:6" ht="17" thickBot="1" x14ac:dyDescent="0.25">
      <c r="A82" t="s">
        <v>72</v>
      </c>
      <c r="B82" s="35">
        <v>100</v>
      </c>
      <c r="C82" s="72">
        <v>0.75</v>
      </c>
    </row>
    <row r="83" spans="1:6" ht="17" thickBot="1" x14ac:dyDescent="0.25">
      <c r="A83" t="s">
        <v>71</v>
      </c>
      <c r="B83" s="35">
        <v>200</v>
      </c>
      <c r="C83" s="72">
        <v>0</v>
      </c>
    </row>
    <row r="84" spans="1:6" x14ac:dyDescent="0.2">
      <c r="C84" s="72">
        <v>0.25</v>
      </c>
    </row>
    <row r="86" spans="1:6" x14ac:dyDescent="0.2">
      <c r="A86" s="9" t="s">
        <v>74</v>
      </c>
    </row>
    <row r="87" spans="1:6" ht="17" thickBot="1" x14ac:dyDescent="0.25"/>
    <row r="88" spans="1:6" ht="17" thickBot="1" x14ac:dyDescent="0.25">
      <c r="A88" t="s">
        <v>93</v>
      </c>
      <c r="B88" s="35">
        <v>172.2</v>
      </c>
      <c r="C88" s="5" t="s">
        <v>124</v>
      </c>
      <c r="D88" s="8"/>
      <c r="E88" s="8"/>
      <c r="F88" s="8"/>
    </row>
    <row r="89" spans="1:6" ht="17" thickBot="1" x14ac:dyDescent="0.25">
      <c r="A89" t="s">
        <v>94</v>
      </c>
      <c r="B89" s="35">
        <v>172.2</v>
      </c>
      <c r="C89" s="5" t="s">
        <v>124</v>
      </c>
    </row>
    <row r="90" spans="1:6" ht="17" thickBot="1" x14ac:dyDescent="0.25">
      <c r="A90" t="s">
        <v>97</v>
      </c>
      <c r="B90" s="33" t="s">
        <v>95</v>
      </c>
    </row>
    <row r="91" spans="1:6" ht="17" thickBot="1" x14ac:dyDescent="0.25">
      <c r="A91" t="s">
        <v>98</v>
      </c>
      <c r="B91" s="36" t="s">
        <v>76</v>
      </c>
    </row>
    <row r="92" spans="1:6" ht="17" thickBot="1" x14ac:dyDescent="0.25">
      <c r="A92" t="s">
        <v>99</v>
      </c>
      <c r="B92" s="34" t="s">
        <v>77</v>
      </c>
    </row>
    <row r="94" spans="1:6" x14ac:dyDescent="0.2">
      <c r="A94" s="9" t="s">
        <v>78</v>
      </c>
    </row>
    <row r="95" spans="1:6" ht="17" thickBot="1" x14ac:dyDescent="0.25"/>
    <row r="96" spans="1:6" ht="17" thickBot="1" x14ac:dyDescent="0.25">
      <c r="A96" t="s">
        <v>79</v>
      </c>
      <c r="B96" s="33">
        <v>-0.1</v>
      </c>
      <c r="C96" s="10" t="s">
        <v>80</v>
      </c>
    </row>
    <row r="97" spans="1:3" ht="17" thickBot="1" x14ac:dyDescent="0.25">
      <c r="A97" t="s">
        <v>82</v>
      </c>
      <c r="B97" s="33">
        <v>-0.15</v>
      </c>
      <c r="C97" s="10" t="s">
        <v>81</v>
      </c>
    </row>
    <row r="102" spans="1:3" x14ac:dyDescent="0.2">
      <c r="A102" s="69">
        <v>0.25</v>
      </c>
    </row>
    <row r="103" spans="1:3" x14ac:dyDescent="0.2">
      <c r="A103" s="69">
        <v>0.26041666666666669</v>
      </c>
    </row>
    <row r="104" spans="1:3" x14ac:dyDescent="0.2">
      <c r="A104" s="69">
        <v>0.27083333333333331</v>
      </c>
    </row>
    <row r="105" spans="1:3" x14ac:dyDescent="0.2">
      <c r="A105" s="69">
        <v>0.28125</v>
      </c>
    </row>
    <row r="106" spans="1:3" x14ac:dyDescent="0.2">
      <c r="A106" s="69">
        <v>0.29166666666666669</v>
      </c>
    </row>
    <row r="107" spans="1:3" x14ac:dyDescent="0.2">
      <c r="A107" s="69">
        <v>0.30208333333333331</v>
      </c>
    </row>
    <row r="108" spans="1:3" x14ac:dyDescent="0.2">
      <c r="A108" s="69">
        <v>0.3125</v>
      </c>
    </row>
    <row r="109" spans="1:3" x14ac:dyDescent="0.2">
      <c r="A109" s="69">
        <v>0.32291666666666669</v>
      </c>
    </row>
    <row r="110" spans="1:3" x14ac:dyDescent="0.2">
      <c r="A110" s="69">
        <v>0.33333333333333331</v>
      </c>
    </row>
    <row r="111" spans="1:3" x14ac:dyDescent="0.2">
      <c r="A111" s="69">
        <v>0.34375</v>
      </c>
    </row>
    <row r="112" spans="1:3" x14ac:dyDescent="0.2">
      <c r="A112" s="69">
        <v>0.35416666666666669</v>
      </c>
    </row>
    <row r="113" spans="1:1" x14ac:dyDescent="0.2">
      <c r="A113" s="69">
        <v>0.36458333333333331</v>
      </c>
    </row>
    <row r="114" spans="1:1" x14ac:dyDescent="0.2">
      <c r="A114" s="69">
        <v>0.375</v>
      </c>
    </row>
    <row r="115" spans="1:1" x14ac:dyDescent="0.2">
      <c r="A115" s="69">
        <v>0.38541666666666669</v>
      </c>
    </row>
    <row r="116" spans="1:1" x14ac:dyDescent="0.2">
      <c r="A116" s="69">
        <v>0.39583333333333331</v>
      </c>
    </row>
    <row r="117" spans="1:1" x14ac:dyDescent="0.2">
      <c r="A117" s="69">
        <v>0.40625</v>
      </c>
    </row>
    <row r="118" spans="1:1" x14ac:dyDescent="0.2">
      <c r="A118" s="69">
        <v>0.41666666666666669</v>
      </c>
    </row>
    <row r="119" spans="1:1" x14ac:dyDescent="0.2">
      <c r="A119" s="69">
        <v>0.42708333333333331</v>
      </c>
    </row>
    <row r="120" spans="1:1" x14ac:dyDescent="0.2">
      <c r="A120" s="69">
        <v>0.4375</v>
      </c>
    </row>
    <row r="121" spans="1:1" x14ac:dyDescent="0.2">
      <c r="A121" s="69">
        <v>0.44791666666666669</v>
      </c>
    </row>
    <row r="122" spans="1:1" x14ac:dyDescent="0.2">
      <c r="A122" s="69">
        <v>0.45833333333333331</v>
      </c>
    </row>
    <row r="123" spans="1:1" x14ac:dyDescent="0.2">
      <c r="A123" s="69">
        <v>0.46875</v>
      </c>
    </row>
    <row r="124" spans="1:1" x14ac:dyDescent="0.2">
      <c r="A124" s="69">
        <v>0.47916666666666669</v>
      </c>
    </row>
    <row r="125" spans="1:1" x14ac:dyDescent="0.2">
      <c r="A125" s="69">
        <v>0.48958333333333331</v>
      </c>
    </row>
    <row r="126" spans="1:1" x14ac:dyDescent="0.2">
      <c r="A126" s="69">
        <v>0.5</v>
      </c>
    </row>
    <row r="127" spans="1:1" x14ac:dyDescent="0.2">
      <c r="A127" s="69">
        <v>0.51041666666666663</v>
      </c>
    </row>
    <row r="128" spans="1:1" x14ac:dyDescent="0.2">
      <c r="A128" s="69">
        <v>0.52083333333333337</v>
      </c>
    </row>
    <row r="129" spans="1:1" x14ac:dyDescent="0.2">
      <c r="A129" s="69">
        <v>0.53125</v>
      </c>
    </row>
    <row r="130" spans="1:1" x14ac:dyDescent="0.2">
      <c r="A130" s="69">
        <v>0.54166666666666663</v>
      </c>
    </row>
    <row r="131" spans="1:1" x14ac:dyDescent="0.2">
      <c r="A131" s="69">
        <v>0.55208333333333337</v>
      </c>
    </row>
    <row r="132" spans="1:1" x14ac:dyDescent="0.2">
      <c r="A132" s="69">
        <v>0.5625</v>
      </c>
    </row>
    <row r="133" spans="1:1" x14ac:dyDescent="0.2">
      <c r="A133" s="69">
        <v>0.57291666666666663</v>
      </c>
    </row>
    <row r="134" spans="1:1" x14ac:dyDescent="0.2">
      <c r="A134" s="69">
        <v>0.58333333333333337</v>
      </c>
    </row>
    <row r="135" spans="1:1" x14ac:dyDescent="0.2">
      <c r="A135" s="69">
        <v>0.59375</v>
      </c>
    </row>
    <row r="136" spans="1:1" x14ac:dyDescent="0.2">
      <c r="A136" s="69">
        <v>0.60416666666666663</v>
      </c>
    </row>
    <row r="137" spans="1:1" x14ac:dyDescent="0.2">
      <c r="A137" s="69">
        <v>0.61458333333333337</v>
      </c>
    </row>
    <row r="138" spans="1:1" x14ac:dyDescent="0.2">
      <c r="A138" s="69">
        <v>0.625</v>
      </c>
    </row>
    <row r="139" spans="1:1" x14ac:dyDescent="0.2">
      <c r="A139" s="69">
        <v>0.63541666666666663</v>
      </c>
    </row>
    <row r="140" spans="1:1" x14ac:dyDescent="0.2">
      <c r="A140" s="69">
        <v>0.64583333333333337</v>
      </c>
    </row>
    <row r="141" spans="1:1" x14ac:dyDescent="0.2">
      <c r="A141" s="69">
        <v>0.65625</v>
      </c>
    </row>
    <row r="142" spans="1:1" x14ac:dyDescent="0.2">
      <c r="A142" s="69">
        <v>0.66666666666666663</v>
      </c>
    </row>
    <row r="143" spans="1:1" x14ac:dyDescent="0.2">
      <c r="A143" s="69">
        <v>0.67708333333333337</v>
      </c>
    </row>
    <row r="144" spans="1:1" x14ac:dyDescent="0.2">
      <c r="A144" s="69">
        <v>0.6875</v>
      </c>
    </row>
    <row r="145" spans="1:1" x14ac:dyDescent="0.2">
      <c r="A145" s="69">
        <v>0.69791666666666663</v>
      </c>
    </row>
    <row r="146" spans="1:1" x14ac:dyDescent="0.2">
      <c r="A146" s="69">
        <v>0.70833333333333337</v>
      </c>
    </row>
    <row r="147" spans="1:1" x14ac:dyDescent="0.2">
      <c r="A147" s="69">
        <v>0.71875</v>
      </c>
    </row>
    <row r="148" spans="1:1" x14ac:dyDescent="0.2">
      <c r="A148" s="69">
        <v>0.72916666666666663</v>
      </c>
    </row>
    <row r="149" spans="1:1" x14ac:dyDescent="0.2">
      <c r="A149" s="69">
        <v>0.73958333333333337</v>
      </c>
    </row>
    <row r="150" spans="1:1" x14ac:dyDescent="0.2">
      <c r="A150" s="69">
        <v>0.75</v>
      </c>
    </row>
    <row r="151" spans="1:1" x14ac:dyDescent="0.2">
      <c r="A151" s="69">
        <v>0.76041666666666663</v>
      </c>
    </row>
    <row r="152" spans="1:1" x14ac:dyDescent="0.2">
      <c r="A152" s="69">
        <v>0.77083333333333337</v>
      </c>
    </row>
    <row r="153" spans="1:1" x14ac:dyDescent="0.2">
      <c r="A153" s="69">
        <v>0.78125</v>
      </c>
    </row>
    <row r="154" spans="1:1" x14ac:dyDescent="0.2">
      <c r="A154" s="69">
        <v>0.79166666666666663</v>
      </c>
    </row>
    <row r="155" spans="1:1" x14ac:dyDescent="0.2">
      <c r="A155" s="69">
        <v>0.80208333333333337</v>
      </c>
    </row>
    <row r="156" spans="1:1" x14ac:dyDescent="0.2">
      <c r="A156" s="69">
        <v>0.8125</v>
      </c>
    </row>
    <row r="157" spans="1:1" x14ac:dyDescent="0.2">
      <c r="A157" s="69">
        <v>0.82291666666666663</v>
      </c>
    </row>
    <row r="158" spans="1:1" x14ac:dyDescent="0.2">
      <c r="A158" s="69">
        <v>0.83333333333333337</v>
      </c>
    </row>
    <row r="159" spans="1:1" x14ac:dyDescent="0.2">
      <c r="A159" s="69">
        <v>0.84375</v>
      </c>
    </row>
    <row r="160" spans="1:1" x14ac:dyDescent="0.2">
      <c r="A160" s="69">
        <v>0.85416666666666663</v>
      </c>
    </row>
    <row r="161" spans="1:1" x14ac:dyDescent="0.2">
      <c r="A161" s="69">
        <v>0.86458333333333337</v>
      </c>
    </row>
    <row r="162" spans="1:1" x14ac:dyDescent="0.2">
      <c r="A162" s="69">
        <v>0.875</v>
      </c>
    </row>
    <row r="163" spans="1:1" x14ac:dyDescent="0.2">
      <c r="A163" s="69">
        <v>0.88541666666666663</v>
      </c>
    </row>
    <row r="164" spans="1:1" x14ac:dyDescent="0.2">
      <c r="A164" s="69">
        <v>0.89583333333333337</v>
      </c>
    </row>
    <row r="165" spans="1:1" x14ac:dyDescent="0.2">
      <c r="A165" s="69">
        <v>0.90625</v>
      </c>
    </row>
    <row r="166" spans="1:1" x14ac:dyDescent="0.2">
      <c r="A166" s="69">
        <v>0.91666666666666663</v>
      </c>
    </row>
    <row r="167" spans="1:1" x14ac:dyDescent="0.2">
      <c r="A167" s="69">
        <v>0.92708333333333337</v>
      </c>
    </row>
    <row r="168" spans="1:1" x14ac:dyDescent="0.2">
      <c r="A168" s="69">
        <v>0.9375</v>
      </c>
    </row>
    <row r="169" spans="1:1" x14ac:dyDescent="0.2">
      <c r="A169" s="69">
        <v>0.94791666666666663</v>
      </c>
    </row>
    <row r="170" spans="1:1" x14ac:dyDescent="0.2">
      <c r="A170" s="69">
        <v>0.95833333333333337</v>
      </c>
    </row>
    <row r="171" spans="1:1" x14ac:dyDescent="0.2">
      <c r="A171" s="69">
        <v>0.96875</v>
      </c>
    </row>
    <row r="172" spans="1:1" x14ac:dyDescent="0.2">
      <c r="A172" s="69">
        <v>0.97916666666666663</v>
      </c>
    </row>
    <row r="173" spans="1:1" x14ac:dyDescent="0.2">
      <c r="A173" s="69">
        <v>0.98958333333333337</v>
      </c>
    </row>
    <row r="174" spans="1:1" x14ac:dyDescent="0.2">
      <c r="A174" s="69">
        <v>1</v>
      </c>
    </row>
    <row r="175" spans="1:1" x14ac:dyDescent="0.2">
      <c r="A175" s="69">
        <v>1.0416666666666666E-2</v>
      </c>
    </row>
    <row r="176" spans="1:1" x14ac:dyDescent="0.2">
      <c r="A176" s="69">
        <v>2.0833333333333332E-2</v>
      </c>
    </row>
    <row r="177" spans="1:1" x14ac:dyDescent="0.2">
      <c r="A177" s="69">
        <v>3.125E-2</v>
      </c>
    </row>
    <row r="178" spans="1:1" x14ac:dyDescent="0.2">
      <c r="A178" s="69">
        <v>4.1666666666666664E-2</v>
      </c>
    </row>
    <row r="179" spans="1:1" x14ac:dyDescent="0.2">
      <c r="A179" s="69">
        <v>5.2083333333333336E-2</v>
      </c>
    </row>
    <row r="180" spans="1:1" x14ac:dyDescent="0.2">
      <c r="A180" s="69">
        <v>6.25E-2</v>
      </c>
    </row>
    <row r="181" spans="1:1" x14ac:dyDescent="0.2">
      <c r="A181" s="69">
        <v>7.2916666666666671E-2</v>
      </c>
    </row>
    <row r="182" spans="1:1" x14ac:dyDescent="0.2">
      <c r="A182" s="69">
        <v>8.3333333333333329E-2</v>
      </c>
    </row>
    <row r="183" spans="1:1" x14ac:dyDescent="0.2">
      <c r="A183" s="69">
        <v>9.375E-2</v>
      </c>
    </row>
    <row r="184" spans="1:1" x14ac:dyDescent="0.2">
      <c r="A184" s="69">
        <v>0.10416666666666667</v>
      </c>
    </row>
    <row r="185" spans="1:1" x14ac:dyDescent="0.2">
      <c r="A185" s="69">
        <v>0.11458333333333333</v>
      </c>
    </row>
    <row r="186" spans="1:1" x14ac:dyDescent="0.2">
      <c r="A186" s="69">
        <v>0.125</v>
      </c>
    </row>
    <row r="187" spans="1:1" x14ac:dyDescent="0.2">
      <c r="A187" s="69">
        <v>0.13541666666666666</v>
      </c>
    </row>
    <row r="188" spans="1:1" x14ac:dyDescent="0.2">
      <c r="A188" s="69">
        <v>0.14583333333333334</v>
      </c>
    </row>
    <row r="189" spans="1:1" x14ac:dyDescent="0.2">
      <c r="A189" s="69">
        <v>0.15625</v>
      </c>
    </row>
    <row r="190" spans="1:1" x14ac:dyDescent="0.2">
      <c r="A190" s="69">
        <v>0.16666666666666666</v>
      </c>
    </row>
    <row r="191" spans="1:1" x14ac:dyDescent="0.2">
      <c r="A191" s="69">
        <v>0.17708333333333334</v>
      </c>
    </row>
    <row r="192" spans="1:1" x14ac:dyDescent="0.2">
      <c r="A192" s="69">
        <v>0.1875</v>
      </c>
    </row>
    <row r="193" spans="1:1" x14ac:dyDescent="0.2">
      <c r="A193" s="69">
        <v>0.19791666666666666</v>
      </c>
    </row>
    <row r="194" spans="1:1" x14ac:dyDescent="0.2">
      <c r="A194" s="69">
        <v>0.20833333333333334</v>
      </c>
    </row>
    <row r="195" spans="1:1" x14ac:dyDescent="0.2">
      <c r="A195" s="69">
        <v>0.21875</v>
      </c>
    </row>
    <row r="196" spans="1:1" x14ac:dyDescent="0.2">
      <c r="A196" s="69">
        <v>0.22916666666666666</v>
      </c>
    </row>
    <row r="197" spans="1:1" x14ac:dyDescent="0.2">
      <c r="A197" s="69">
        <v>0.23958333333333334</v>
      </c>
    </row>
  </sheetData>
  <sheetProtection algorithmName="SHA-512" hashValue="HUlNAVF5p+TkEJFpjatMauGj7U1GN6cPQ5uqJXglVmRG8y6g/k7InAv1tjYGteNu2jxYyOeeueSpUuVdvT7QlA==" saltValue="J5gJXmUMcjFD03e6EqgwTA==" spinCount="100000" sheet="1" objects="1" scenarios="1" selectLockedCells="1"/>
  <pageMargins left="0.7" right="0.7" top="0.75" bottom="0.75" header="0.3" footer="0.3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90C1B4-9776-D149-9F58-B7577FFBE0FA}">
  <sheetPr codeName="Ark2">
    <pageSetUpPr fitToPage="1"/>
  </sheetPr>
  <dimension ref="B1:Y51"/>
  <sheetViews>
    <sheetView tabSelected="1" zoomScale="120" zoomScaleNormal="120" workbookViewId="0">
      <selection activeCell="G3" sqref="G3"/>
    </sheetView>
  </sheetViews>
  <sheetFormatPr baseColWidth="10" defaultRowHeight="14" x14ac:dyDescent="0.2"/>
  <cols>
    <col min="1" max="1" width="1.5" style="15" customWidth="1"/>
    <col min="2" max="4" width="10.6640625" style="15" customWidth="1"/>
    <col min="5" max="5" width="11.1640625" style="15" customWidth="1"/>
    <col min="6" max="6" width="1.6640625" style="15" customWidth="1"/>
    <col min="7" max="7" width="11" style="15" customWidth="1"/>
    <col min="8" max="12" width="10.6640625" style="15" customWidth="1"/>
    <col min="13" max="20" width="11.6640625" style="15" customWidth="1"/>
    <col min="21" max="21" width="13.5" style="15" customWidth="1"/>
    <col min="22" max="22" width="2.1640625" style="15" customWidth="1"/>
    <col min="23" max="23" width="15" style="15" customWidth="1"/>
    <col min="24" max="24" width="2.33203125" style="15" customWidth="1"/>
    <col min="25" max="25" width="15" style="15" customWidth="1"/>
    <col min="26" max="26" width="2.1640625" style="15" customWidth="1"/>
    <col min="27" max="27" width="16.33203125" style="15" customWidth="1"/>
    <col min="28" max="16384" width="10.83203125" style="15"/>
  </cols>
  <sheetData>
    <row r="1" spans="2:25" ht="15" thickBot="1" x14ac:dyDescent="0.25">
      <c r="B1" s="46" t="s">
        <v>105</v>
      </c>
      <c r="H1" s="46" t="s">
        <v>53</v>
      </c>
      <c r="M1" s="46" t="s">
        <v>107</v>
      </c>
      <c r="R1" s="15" t="s">
        <v>119</v>
      </c>
    </row>
    <row r="2" spans="2:25" customFormat="1" ht="23" customHeight="1" thickBot="1" x14ac:dyDescent="0.25">
      <c r="B2" s="134" t="s">
        <v>105</v>
      </c>
      <c r="C2" s="135"/>
      <c r="D2" s="135"/>
      <c r="E2" s="136"/>
      <c r="F2" s="102"/>
      <c r="G2" s="19"/>
      <c r="H2" s="134" t="s">
        <v>53</v>
      </c>
      <c r="I2" s="135"/>
      <c r="J2" s="135"/>
      <c r="K2" s="136"/>
      <c r="L2" s="29"/>
      <c r="M2" s="134" t="s">
        <v>49</v>
      </c>
      <c r="N2" s="135"/>
      <c r="O2" s="135"/>
      <c r="P2" s="136"/>
      <c r="Q2" s="19"/>
      <c r="R2" s="140" t="s">
        <v>115</v>
      </c>
      <c r="S2" s="141"/>
      <c r="T2" s="141"/>
      <c r="U2" s="141"/>
      <c r="V2" s="141"/>
      <c r="W2" s="142"/>
    </row>
    <row r="3" spans="2:25" customFormat="1" ht="23" customHeight="1" thickBot="1" x14ac:dyDescent="0.25">
      <c r="B3" s="46" t="s">
        <v>106</v>
      </c>
      <c r="C3" s="15"/>
      <c r="D3" s="15"/>
      <c r="E3" s="15"/>
      <c r="F3" s="15"/>
      <c r="G3" s="15"/>
      <c r="H3" s="46" t="s">
        <v>46</v>
      </c>
      <c r="I3" s="15"/>
      <c r="J3" s="15"/>
      <c r="K3" s="15"/>
      <c r="L3" s="15"/>
      <c r="M3" s="46" t="s">
        <v>50</v>
      </c>
      <c r="N3" s="29"/>
      <c r="O3" s="29"/>
      <c r="P3" s="29"/>
      <c r="Q3" s="19"/>
      <c r="R3" s="19"/>
      <c r="S3" s="19"/>
      <c r="T3" s="19"/>
      <c r="U3" s="19"/>
      <c r="V3" s="19"/>
      <c r="W3" s="19"/>
    </row>
    <row r="4" spans="2:25" customFormat="1" ht="23" customHeight="1" thickBot="1" x14ac:dyDescent="0.25">
      <c r="B4" s="134" t="s">
        <v>106</v>
      </c>
      <c r="C4" s="135"/>
      <c r="D4" s="135"/>
      <c r="E4" s="136"/>
      <c r="F4" s="102"/>
      <c r="G4" s="19"/>
      <c r="H4" s="134" t="s">
        <v>46</v>
      </c>
      <c r="I4" s="135"/>
      <c r="J4" s="135"/>
      <c r="K4" s="136"/>
      <c r="L4" s="29"/>
      <c r="M4" s="134" t="s">
        <v>50</v>
      </c>
      <c r="N4" s="135"/>
      <c r="O4" s="135"/>
      <c r="P4" s="136"/>
      <c r="Q4" s="19"/>
      <c r="R4" s="19" t="s">
        <v>116</v>
      </c>
      <c r="S4" s="19"/>
      <c r="T4" s="143" cm="1">
        <f t="array" aca="1" ref="T4" ca="1">_xlfn.IFS(R2=Datasheet!A6,Datasheet!B6,R2=Datasheet!A7,Datasheet!B6,R2=Datasheet!A8,Datasheet!B6,R2=Datasheet!A9,Datasheet!B6,R2=Datasheet!A10,Datasheet!B6,Lønberegner!R2=Datasheet!A11,Datasheet!B6,R2=Datasheet!A12,Datasheet!B12,R2=Datasheet!A13,Datasheet!B12,R2=Datasheet!A14,Datasheet!B12,R2=Datasheet!A15,Datasheet!B12,R2=Datasheet!A16,Datasheet!B12,R2=Datasheet!A17,Datasheet!B12,R2=Datasheet!A18,Datasheet!B12,R2=Datasheet!A18,Datasheet!B12,R2=Datasheet!A19,Datasheet!B12,R2=Datasheet!A20,Datasheet!B12,R2=Datasheet!A21,Datasheet!B12,R2=Datasheet!A22,Datasheet!B12,R2=Datasheet!A23,Datasheet!B23,R2=Datasheet!A24,Datasheet!B23,R2=Datasheet!A25,Datasheet!B23,R2=Datasheet!A26,Datasheet!B23,R2=Datasheet!A27,Datasheet!B23,R2=Datasheet!A28,Datasheet!B23,R2=Datasheet!A29,Datasheet!B23,R2=Datasheet!A30,Datasheet!B23,R2=Datasheet!A31,Datasheet!B23,R2=Datasheet!A32,Datasheet!B23,R2=Datasheet!A33,Datasheet!B23,R2=Datasheet!A34,Datasheet!B23,R2=Datasheet!A35,Datasheet!B23,R2=Datasheet!A36,Datasheet!B23,R2=Datasheet!A37,Datasheet!B37,R2=Datasheet!A38,Datasheet!B37,R2=Datasheet!A39,Datasheet!B37,R2=Datasheet!A40,Datasheet!B37,R2=Datasheet!A41,Datasheet!B37,R2=Datasheet!A42,Datasheet!B37,R2=Datasheet!A43,Datasheet!B37,R2=Datasheet!A44,Datasheet!B37,R2=Datasheet!A45,Datasheet!B37,R2=Datasheet!A46,Datasheet!B37,R2=Datasheet!A47,Datasheet!B37,R2=Datasheet!A48,Datasheet!B37,R2=Datasheet!A49,Datasheet!B49,R2=Datasheet!A50,Datasheet!B49,R2=Datasheet!A51,Datasheet!B49)</f>
        <v>4100</v>
      </c>
      <c r="U4" s="144"/>
      <c r="V4" s="144"/>
      <c r="W4" s="145"/>
    </row>
    <row r="5" spans="2:25" customFormat="1" ht="23" customHeight="1" thickBot="1" x14ac:dyDescent="0.25">
      <c r="B5" s="46" t="s">
        <v>54</v>
      </c>
      <c r="C5" s="15"/>
      <c r="D5" s="15"/>
      <c r="E5" s="15"/>
      <c r="F5" s="15"/>
      <c r="G5" s="15"/>
      <c r="H5" s="46" t="s">
        <v>47</v>
      </c>
      <c r="I5" s="15"/>
      <c r="J5" s="15"/>
      <c r="K5" s="15"/>
      <c r="L5" s="15"/>
      <c r="M5" s="46" t="s">
        <v>51</v>
      </c>
      <c r="N5" s="29"/>
      <c r="O5" s="29"/>
      <c r="P5" s="29"/>
      <c r="Q5" s="19"/>
      <c r="R5" s="19"/>
      <c r="S5" s="19"/>
      <c r="T5" s="30"/>
      <c r="U5" s="30"/>
      <c r="V5" s="30"/>
      <c r="W5" s="30"/>
    </row>
    <row r="6" spans="2:25" customFormat="1" ht="23" customHeight="1" thickBot="1" x14ac:dyDescent="0.25">
      <c r="B6" s="134" t="s">
        <v>54</v>
      </c>
      <c r="C6" s="135"/>
      <c r="D6" s="135"/>
      <c r="E6" s="136"/>
      <c r="F6" s="102"/>
      <c r="G6" s="19"/>
      <c r="H6" s="134" t="s">
        <v>47</v>
      </c>
      <c r="I6" s="135"/>
      <c r="J6" s="135"/>
      <c r="K6" s="136"/>
      <c r="L6" s="29"/>
      <c r="M6" s="134" t="s">
        <v>51</v>
      </c>
      <c r="N6" s="135"/>
      <c r="O6" s="135"/>
      <c r="P6" s="136"/>
      <c r="Q6" s="19"/>
      <c r="R6" s="19" t="s">
        <v>117</v>
      </c>
      <c r="S6" s="19"/>
      <c r="T6" s="146">
        <v>0</v>
      </c>
      <c r="U6" s="147"/>
      <c r="V6" s="147"/>
      <c r="W6" s="148"/>
    </row>
    <row r="7" spans="2:25" customFormat="1" ht="23" customHeight="1" thickBot="1" x14ac:dyDescent="0.25">
      <c r="B7" s="46" t="s">
        <v>55</v>
      </c>
      <c r="C7" s="15"/>
      <c r="D7" s="15"/>
      <c r="E7" s="15"/>
      <c r="F7" s="15"/>
      <c r="G7" s="15"/>
      <c r="H7" s="46" t="s">
        <v>48</v>
      </c>
      <c r="I7" s="15"/>
      <c r="J7" s="15"/>
      <c r="K7" s="15"/>
      <c r="L7" s="15"/>
      <c r="M7" s="46" t="s">
        <v>52</v>
      </c>
      <c r="N7" s="29"/>
      <c r="O7" s="29"/>
      <c r="P7" s="31"/>
      <c r="Q7" s="19"/>
      <c r="R7" s="19"/>
      <c r="S7" s="19"/>
      <c r="T7" s="30"/>
      <c r="U7" s="30"/>
      <c r="V7" s="30"/>
      <c r="W7" s="30"/>
    </row>
    <row r="8" spans="2:25" customFormat="1" ht="23" customHeight="1" thickBot="1" x14ac:dyDescent="0.25">
      <c r="B8" s="134" t="s">
        <v>55</v>
      </c>
      <c r="C8" s="135"/>
      <c r="D8" s="135"/>
      <c r="E8" s="136"/>
      <c r="F8" s="102"/>
      <c r="G8" s="19"/>
      <c r="H8" s="134" t="s">
        <v>48</v>
      </c>
      <c r="I8" s="135"/>
      <c r="J8" s="135"/>
      <c r="K8" s="136"/>
      <c r="L8" s="29"/>
      <c r="M8" s="137" t="s">
        <v>52</v>
      </c>
      <c r="N8" s="138"/>
      <c r="O8" s="138"/>
      <c r="P8" s="139"/>
      <c r="Q8" s="19"/>
      <c r="R8" s="19" t="s">
        <v>118</v>
      </c>
      <c r="S8" s="19"/>
      <c r="T8" s="143">
        <f ca="1">IF(T4="Angiv selv løn",T6,T4+T6)</f>
        <v>4100</v>
      </c>
      <c r="U8" s="144"/>
      <c r="V8" s="144"/>
      <c r="W8" s="145"/>
    </row>
    <row r="9" spans="2:25" x14ac:dyDescent="0.2">
      <c r="P9" s="25"/>
    </row>
    <row r="10" spans="2:25" ht="15" thickBot="1" x14ac:dyDescent="0.25">
      <c r="C10" s="81"/>
      <c r="G10" s="82"/>
      <c r="I10" s="70"/>
      <c r="J10" s="81"/>
      <c r="L10" s="82"/>
      <c r="M10" s="70"/>
      <c r="N10" s="44"/>
      <c r="O10" s="44"/>
      <c r="P10" s="44"/>
      <c r="Q10" s="44"/>
      <c r="R10" s="44"/>
      <c r="S10" s="44"/>
      <c r="T10" s="44"/>
    </row>
    <row r="11" spans="2:25" ht="17" customHeight="1" thickBot="1" x14ac:dyDescent="0.25">
      <c r="N11" s="149" t="s">
        <v>136</v>
      </c>
      <c r="O11" s="150"/>
      <c r="P11" s="150"/>
      <c r="Q11" s="150"/>
      <c r="R11" s="150"/>
      <c r="S11" s="150"/>
      <c r="T11" s="151"/>
    </row>
    <row r="12" spans="2:25" s="11" customFormat="1" ht="34" customHeight="1" thickBot="1" x14ac:dyDescent="0.25">
      <c r="B12" s="41" t="s">
        <v>86</v>
      </c>
      <c r="C12" s="41">
        <f>WEEKNUM(B15,2)</f>
        <v>40</v>
      </c>
      <c r="E12" s="19"/>
      <c r="F12" s="19"/>
      <c r="G12" s="155" t="s">
        <v>75</v>
      </c>
      <c r="H12" s="155"/>
      <c r="I12" s="155"/>
      <c r="J12" s="155"/>
      <c r="K12" s="155"/>
      <c r="L12" s="156"/>
      <c r="M12" s="84" t="s">
        <v>130</v>
      </c>
      <c r="N12" s="155" t="s">
        <v>120</v>
      </c>
      <c r="O12" s="156"/>
      <c r="P12" s="78" t="s">
        <v>69</v>
      </c>
      <c r="Q12" s="153" t="s">
        <v>74</v>
      </c>
      <c r="R12" s="153"/>
      <c r="S12" s="154"/>
      <c r="T12" s="79" t="s">
        <v>83</v>
      </c>
      <c r="U12" s="79" t="s">
        <v>137</v>
      </c>
      <c r="W12" s="26" t="s">
        <v>127</v>
      </c>
      <c r="Y12" s="26" t="s">
        <v>128</v>
      </c>
    </row>
    <row r="13" spans="2:25" s="14" customFormat="1" ht="35" customHeight="1" thickBot="1" x14ac:dyDescent="0.25">
      <c r="B13" s="88" t="s">
        <v>90</v>
      </c>
      <c r="C13" s="87" t="s">
        <v>56</v>
      </c>
      <c r="D13" s="129" t="s">
        <v>91</v>
      </c>
      <c r="E13" s="88" t="s">
        <v>92</v>
      </c>
      <c r="G13" s="103" t="s">
        <v>142</v>
      </c>
      <c r="H13" s="24" t="s">
        <v>85</v>
      </c>
      <c r="I13" s="23" t="s">
        <v>108</v>
      </c>
      <c r="J13" s="23" t="s">
        <v>109</v>
      </c>
      <c r="K13" s="23" t="s">
        <v>110</v>
      </c>
      <c r="L13" s="22" t="s">
        <v>111</v>
      </c>
      <c r="M13" s="73" t="s">
        <v>131</v>
      </c>
      <c r="N13" s="32" t="s">
        <v>102</v>
      </c>
      <c r="O13" s="74" t="s">
        <v>103</v>
      </c>
      <c r="P13" s="73" t="s">
        <v>138</v>
      </c>
      <c r="Q13" s="24" t="s">
        <v>87</v>
      </c>
      <c r="R13" s="76" t="s">
        <v>88</v>
      </c>
      <c r="S13" s="75" t="s">
        <v>89</v>
      </c>
      <c r="T13" s="77" t="s">
        <v>84</v>
      </c>
      <c r="U13" s="77" t="s">
        <v>141</v>
      </c>
      <c r="W13" s="114">
        <f ca="1">SUM(W14:W50)</f>
        <v>0</v>
      </c>
      <c r="Y13" s="115">
        <f ca="1">SUM(Y15:Y48)</f>
        <v>0</v>
      </c>
    </row>
    <row r="14" spans="2:25" s="14" customFormat="1" ht="15" thickBot="1" x14ac:dyDescent="0.25">
      <c r="B14" s="12"/>
      <c r="C14" s="13"/>
      <c r="D14" s="13"/>
      <c r="E14" s="13"/>
      <c r="F14" s="13"/>
      <c r="G14" s="18"/>
      <c r="H14" s="20"/>
      <c r="L14" s="21"/>
      <c r="T14" s="21"/>
      <c r="U14" s="21"/>
      <c r="W14" s="116"/>
      <c r="Y14" s="65"/>
    </row>
    <row r="15" spans="2:25" s="14" customFormat="1" ht="30" customHeight="1" thickBot="1" x14ac:dyDescent="0.25">
      <c r="B15" s="27">
        <v>45565</v>
      </c>
      <c r="C15" s="86">
        <f>WEEKDAY(B15,1)</f>
        <v>2</v>
      </c>
      <c r="D15" s="71">
        <v>0.20833333333333334</v>
      </c>
      <c r="E15" s="71">
        <v>0.66666666666666663</v>
      </c>
      <c r="G15" s="89" t="str" cm="1">
        <f t="array" ref="G15">_xlfn.IFS($D16="Fri","-",$D16="Sygdom","-",$D16&lt;&gt;"Fri",IF(AND(E15&gt;0,D15&gt;0),MOD((HOUR(E15)-HOUR(D15))+(MINUTE(E15)-MINUTE(D15))/60,24),0/24))</f>
        <v>-</v>
      </c>
      <c r="H15" s="90" t="str" cm="1">
        <f t="array" aca="1" ref="H15" ca="1">IF($T$4=Datasheet!$B$49,(IF(G15=0,0,(IF(AND(G15&gt;0,G15&lt;=4),4,(IF(AND(G15&gt;=4,G15&lt;=8,G15&lt;&gt;0),G15,8)))))),_xlfn.IFS($D16="Fri","-",$D16="Sygdom","4",$D16="Optagelse",(IF(G15&gt;0,8,0)),$D16="Forbered/afrig tid",(IF(G15=0,0,(IF(AND(G15&gt;0,G15&lt;=4),4,(IF(AND(G15&gt;=4,G15&lt;=8,G15&lt;&gt;0),G15,8)))))),$D16="Rejsetid",(IF(AND(G15&gt;0,G15&lt;=4),4,(IF(G15&gt;=4,G15,0)))),$D16="Rejsetid +50%",(IF(AND(G15&gt;0,G15&lt;=4),4,(IF(G15&gt;=4,G15,0))))))</f>
        <v>-</v>
      </c>
      <c r="I15" s="91" t="str">
        <f>IF(OR(D16="Optagelse",D16="Forbered/afrig tid"),IF(G15&gt;8,(G15-H15-J15-K15-L15),0),"-")</f>
        <v>-</v>
      </c>
      <c r="J15" s="91" t="str">
        <f>IF(OR($D16="Optagelse",$D16="Forbered/afrig tid"),IF(G15&gt;10,(G15-H15-K15-L15)-2,0),"-")</f>
        <v>-</v>
      </c>
      <c r="K15" s="91" t="str">
        <f>IF(OR($D16="Optagelse",$D16="Forbered/afrig tid"),IF(G15&gt;12,(G15-H15-L15)-4,0),"-")</f>
        <v>-</v>
      </c>
      <c r="L15" s="91" t="str">
        <f>IF(OR(D16="Optagelse",$D16="Forbered/afrig tid"),IF(G15&gt;13,(G15-H15)-5,0),"-")</f>
        <v>-</v>
      </c>
      <c r="M15" s="108">
        <v>0.75</v>
      </c>
      <c r="N15" s="92">
        <v>0</v>
      </c>
      <c r="O15" s="92">
        <v>0</v>
      </c>
      <c r="P15" s="92">
        <v>0</v>
      </c>
      <c r="Q15" s="93" t="s">
        <v>96</v>
      </c>
      <c r="R15" s="93" t="s">
        <v>96</v>
      </c>
      <c r="S15" s="93" t="s">
        <v>96</v>
      </c>
      <c r="T15" s="106" t="s">
        <v>101</v>
      </c>
      <c r="U15" s="122" t="s">
        <v>139</v>
      </c>
      <c r="W15" s="117"/>
      <c r="Y15" s="66"/>
    </row>
    <row r="16" spans="2:25" s="14" customFormat="1" ht="15" customHeight="1" x14ac:dyDescent="0.2">
      <c r="B16" s="28"/>
      <c r="C16" s="127" t="s">
        <v>132</v>
      </c>
      <c r="D16" s="130" t="s">
        <v>134</v>
      </c>
      <c r="E16" s="131"/>
      <c r="G16" s="94"/>
      <c r="H16" s="109" t="str">
        <f ca="1">IF($T$4=Datasheet!$B$49,"Timeløn",(IF(D16="Rejsetid +50%","Timeløn +50%",(IF(D16="Fri","-","Timeløn")))))</f>
        <v>-</v>
      </c>
      <c r="I16" s="110" t="str" cm="1">
        <f t="array" aca="1" ref="I16" ca="1">IF($T$4=Datasheet!$B$49,Datasheet!$C$65,(_xlfn.IFS($D16="Fri","-",$D16="Sygdom","-",$D16="Rejsetid","-",D16="Rejsetid +50%","-",D16="Forbered/afrig tid",Datasheet!$C$56,D16="Optagelse",Datasheet!$C$59)))</f>
        <v>-</v>
      </c>
      <c r="J16" s="110" t="str" cm="1">
        <f t="array" aca="1" ref="J16" ca="1">IF($T$4=Datasheet!$B$49,"Rate 1",_xlfn.IFS($D16="Fri","-",$D16="Sygdom","-",$D16="Rejsetid","-",D16="Rejsetid +50%","-",D16="Rejsetid","-",D16="Forbered/afrig tid",Datasheet!$D$56,D16="Optagelse",Datasheet!$D$59))</f>
        <v>-</v>
      </c>
      <c r="K16" s="110" t="str" cm="1">
        <f t="array" aca="1" ref="K16" ca="1">IF($T$4=Datasheet!$B$49,"Rate 1",_xlfn.IFS(D16="Fri","-",D16="Rejsetid","-",$D16="Sygdom","-",$D16="Rejsetid","-",D16="Rejsetid +50%","-",D16="Forbered/afrig tid",Datasheet!$E$56,D16="Optagelse",Datasheet!$E$59))</f>
        <v>-</v>
      </c>
      <c r="L16" s="110" t="str" cm="1">
        <f t="array" aca="1" ref="L16" ca="1">IF($T$4=Datasheet!$B$49,"Rate 2",_xlfn.IFS($D16="Fri","-",$D16="Sygdom","-",$D16="Rejsetid","-",D16="Rejsetid +50%","-",D16="Rejsetid","-",D16="Forbered/afrig tid",Datasheet!$E$56,D16="Optagelse",Datasheet!$F$59))</f>
        <v>-</v>
      </c>
      <c r="M16" s="111" cm="1">
        <f t="array" ref="M16">IF(AND($C17="Ja",OR($D16="optagelse",$D16="Forbered/afrig tid")),_xlfn.IFS($D16="optagelse",$G15+$P15,$D16="Forbered/afrig tid",$G15),_xlfn.IFS($D16="Fri",0,$D16="rejsetid",0,$D16="rejsetid +50%",0,$D16="sygdom",0,$C15=1,IF(AND($C15=1,$D16="optagelse"),$G15+$P15,G15),$C15=7,IF(AND($C15=7,$D16="optagelse"),$G15+$P15,$G15),$C15=2,0,$C15=3,0,$C15=4,0,$C15=5,0,$C15=6,0))</f>
        <v>0</v>
      </c>
      <c r="N16" s="112" t="str">
        <f ca="1">IF($T$4=Datasheet!$B$49,"-",IF($D16="Optagelse","Timetillæg","-"))</f>
        <v>-</v>
      </c>
      <c r="O16" s="112" t="str">
        <f ca="1">IF($T$4=Datasheet!$B$49,"-",IF($D16="Optagelse","Timetillæg","-"))</f>
        <v>-</v>
      </c>
      <c r="P16" s="110" t="str">
        <f ca="1">IF($T$4=Datasheet!$B$49,"-",IF($D16="Optagelse",Datasheet!$B$77,"-"))</f>
        <v>-</v>
      </c>
      <c r="Q16" s="113" t="str" cm="1">
        <f t="array" aca="1" ref="Q16" ca="1">(_xlfn.IFS($T$4=Datasheet!$B$49,"-",$D16="Fri","-",$D16="Forbered/afrig tid","-",$D16="Rejsetid","-",$D16="Rejsetid +50%","-",$D16="Sygdom","-",$D16="optagelse",(_xlfn.IFS(Q15="Planmæssigt","-",Q15="Forsinket","Diæt",Q15="Ingen servering","Diæt",Q15="Pause ikke afholdt","Diæt + 45min"))))</f>
        <v>-</v>
      </c>
      <c r="R16" s="113" t="str" cm="1">
        <f t="array" aca="1" ref="R16" ca="1">_xlfn.IFS($T$4=Datasheet!$B$49,"-",$D16="Fri","-",$D16="Forbered/afrig tid","-",$D16="Rejsetid","-",$D16="Rejsetid +50%","-",$D16="Sygdom","-",$D16="optagelse",(_xlfn.IFS(R15="Planmæssigt","-",R15="Forsinket","Diæt",R15="Ingen servering","Diæt",R15="Pause ikke afholdt","Diæt + 30min")))</f>
        <v>-</v>
      </c>
      <c r="S16" s="113" t="str" cm="1">
        <f t="array" aca="1" ref="S16" ca="1">_xlfn.IFS($T$4=Datasheet!$B$49,"-",$D16="Fri","-",$D16="Forbered/afrig tid","-",$D16="Rejsetid","-",$D16="Rejsetid +50%","-",$D16="Sygdom","-",$D16="optagelse",(_xlfn.IFS(S15="Planmæssigt","-",S15="Forsinket","Diæt",S15="Ingen servering","Diæt",S15="Pause ikke afholdt","Diæt + 15min")))</f>
        <v>-</v>
      </c>
      <c r="T16" s="105" t="str" cm="1">
        <f t="array" aca="1" ref="T16" ca="1">IF($T4=Datasheet!$B$49,"-",IF(D16="Optagelse",_xlfn.IFS(T15="Ingen rabat","-",T15="Rabat A",Datasheet!$B$96,T15="Rabat B",Datasheet!$B$97),"-"))</f>
        <v>-</v>
      </c>
      <c r="U16" s="95" t="str">
        <f>IF(U15="Ingen diæt","-",U15)</f>
        <v>-</v>
      </c>
      <c r="W16" s="117"/>
      <c r="Y16" s="66"/>
    </row>
    <row r="17" spans="2:25" s="14" customFormat="1" ht="15" customHeight="1" thickBot="1" x14ac:dyDescent="0.25">
      <c r="B17" s="80"/>
      <c r="C17" s="128" t="s">
        <v>133</v>
      </c>
      <c r="D17" s="132"/>
      <c r="E17" s="133"/>
      <c r="G17" s="101"/>
      <c r="H17" s="17" t="str" cm="1">
        <f t="array" aca="1" ref="H17" ca="1">IF($T$4=Datasheet!$B$49,grundløn/8,(_xlfn.IFS($D16="Fri","-",$D16="Optagelse",grundløn/8,$D16="rejsetid",grundløn/8,$D16="rejsetid +50%",(grundløn/8)*1.5,$D16="Forbered/afrig tid",grundløn/8,$D16="Sygdom",grundløn/8)))</f>
        <v>-</v>
      </c>
      <c r="I17" s="17" t="str" cm="1">
        <f t="array" aca="1" ref="I17" ca="1">IF($T$4=Datasheet!$B$49,Datasheet!$C$66,_xlfn.IFS($D16="Fri","-",$D16="Sygdom","-",$D16="Rejsetid","-",D16="Rejsetid +50%","-",$D16="Optagelse",grundløn/8*$I16+grundløn/8,$D16="rejsetid","-",$D16="Forbered/afrig tid",grundløn/8*$I16+grundløn/8))</f>
        <v>-</v>
      </c>
      <c r="J17" s="17" t="str" cm="1">
        <f t="array" aca="1" ref="J17" ca="1">IF($T$4=Datasheet!$B$49,Datasheet!$C$66,_xlfn.IFS($D16="Fri","-",$D16="Sygdom","-",$D16="Rejsetid","-",D16="Rejsetid +50%","-",$D16="Optagelse",grundløn/8*$J16+grundløn/8,$D16="rejsetid","-",$D16="Forbered/afrig tid",grundløn/8*$J16+grundløn/8))</f>
        <v>-</v>
      </c>
      <c r="K17" s="17" t="str" cm="1">
        <f t="array" aca="1" ref="K17" ca="1">IF($T$4=Datasheet!$B$49,Datasheet!$C$66,_xlfn.IFS($D16="Fri","-",$D16="Sygdom","-",$D16="Rejsetid","-",D16="Rejsetid +50%","-",$D16="Optagelse",grundløn/8*$K16+grundløn/8,$D16="rejsetid","-",$D16="Forbered/afrig tid",grundløn/8*$K16+grundløn/8))</f>
        <v>-</v>
      </c>
      <c r="L17" s="17" t="str" cm="1">
        <f t="array" aca="1" ref="L17" ca="1">IF($T$4=Datasheet!$B$49,Datasheet!$D$66,_xlfn.IFS($D16="Fri","-",$D16="Sygdom","-",$D16="Rejsetid","-",D16="Rejsetid +50%","-",$D16="Optagelse",grundløn/8*$L16+grundløn/8,$D16="rejsetid","-",$D16="Forbered/afrig tid",grundløn/8*$L16+grundløn/8))</f>
        <v>-</v>
      </c>
      <c r="M17" s="83" t="str">
        <f>IF(AND(M16&lt;&gt;0,M16&lt;&gt;"-"),H17*M15,"-")</f>
        <v>-</v>
      </c>
      <c r="N17" s="17" t="str">
        <f ca="1">IF($T$4=Datasheet!$B$49,"-",IF($D16="Optagelse",Datasheet!$B$82,"-"))</f>
        <v>-</v>
      </c>
      <c r="O17" s="17" t="str">
        <f ca="1">IF($T$4=Datasheet!$B$49,"-",IF($D16="Optagelse",Datasheet!$B$83,"-"))</f>
        <v>-</v>
      </c>
      <c r="P17" s="16" t="str">
        <f ca="1">IF($T$4=Datasheet!$B$49,"-",IF(D16="Optagelse",((grundløn/8)*P16+grundløn/8),"-"))</f>
        <v>-</v>
      </c>
      <c r="Q17" s="16" t="str" cm="1">
        <f t="array" aca="1" ref="Q17" ca="1">_xlfn.IFS($T$4=Datasheet!$B$49,"-",$D16="Fri","-",$D16="Forbered/afrig tid","-",$D16="Rejsetid","-",$D16="Rejsetid +50%","-",$D16="Sygdom","-",$D16="optagelse",_xlfn.IFS(Q15="Planmæssigt","-",Q15="Forsinket",Datasheet!$B$88,Q15="Ingen servering",Datasheet!$B$88,Q15="Pause ikke afholdt",Datasheet!$B$88))</f>
        <v>-</v>
      </c>
      <c r="R17" s="16" t="str" cm="1">
        <f t="array" aca="1" ref="R17" ca="1">_xlfn.IFS($T$4=Datasheet!$B$49,"-",$D16="Fri","-",$D16="Forbered/afrig tid","-",$D16="Rejsetid","-",$D16="Rejsetid +50%","-",$D16="Sygdom","-",$D16="optagelse",_xlfn.IFS(R15="Planmæssigt","-",R15="Forsinket",Datasheet!$B$88,R15="Ingen servering",Datasheet!$B$88,R15="Pause ikke afholdt",Datasheet!$B$88))</f>
        <v>-</v>
      </c>
      <c r="S17" s="16" t="str" cm="1">
        <f t="array" aca="1" ref="S17" ca="1">_xlfn.IFS($T$4=Datasheet!$B$49,"-",$D16="Fri","-",$D16="Forbered/afrig tid","-",$D16="Rejsetid","-",$D16="Rejsetid +50%","-",$D16="Sygdom","-",$D16="optagelse",_xlfn.IFS(S15="Planmæssigt","-",S15="Forsinket",Datasheet!$B$88,S15="Ingen servering",Datasheet!$B$88,S15="Pause ikke afholdt",Datasheet!$B$88))</f>
        <v>-</v>
      </c>
      <c r="T17" s="16" t="str" cm="1">
        <f t="array" aca="1" ref="T17" ca="1">IF($T4=Datasheet!$B$49,"-",(_xlfn.IFS($D16="Fri","-",$D16="rejsetid","-",$D16="Rejsetid +50%","-",$D16="Sygdom","-",$D16="Forbered/afrig tid","-",$D16="Optagelse",(IF(T15="Ingen rabat","-",(SUM(H18:S18)))))))</f>
        <v>-</v>
      </c>
      <c r="U17" s="96" t="str" cm="1">
        <f t="array" aca="1" ref="U17" ca="1">IF(OR($Q16&lt;&gt;"-",$R16&lt;&gt;"-",$S16&lt;&gt;"-",D16="Fri"),"-",_xlfn.IFS($U16="-","-",$U16="Morgen",86.1,$U16="Morgen+Frokost",258.3,$U16="Frokost el. Aften",172.2,$U16="Frokost+Aften", 344.4,$U16="Fuld kost",420.5))</f>
        <v>-</v>
      </c>
      <c r="W17" s="118"/>
      <c r="X17" s="63"/>
      <c r="Y17" s="67">
        <f ca="1">SUM(Q17:S17)+SUM(U17)</f>
        <v>0</v>
      </c>
    </row>
    <row r="18" spans="2:25" s="14" customFormat="1" ht="15" customHeight="1" thickBot="1" x14ac:dyDescent="0.25">
      <c r="D18" s="85"/>
      <c r="G18" s="97"/>
      <c r="H18" s="98" t="str">
        <f>IF($D16="Fri","-",(IF(H15&gt;0,H17*H15,"-")))</f>
        <v>-</v>
      </c>
      <c r="I18" s="98" t="str">
        <f ca="1">IF(AND(I15&lt;&gt;"-",I17&lt;&gt;"-"),I17*I15,"-")</f>
        <v>-</v>
      </c>
      <c r="J18" s="98" t="str">
        <f t="shared" ref="J18:P18" ca="1" si="0">IF(AND(J15&lt;&gt;"-",J17&lt;&gt;"-"),J17*J15,"-")</f>
        <v>-</v>
      </c>
      <c r="K18" s="98" t="str">
        <f t="shared" ca="1" si="0"/>
        <v>-</v>
      </c>
      <c r="L18" s="98" t="str">
        <f t="shared" ca="1" si="0"/>
        <v>-</v>
      </c>
      <c r="M18" s="99" t="str">
        <f>IF(M17&lt;&gt;"-",M17*M16,"-")</f>
        <v>-</v>
      </c>
      <c r="N18" s="98" t="str">
        <f ca="1">IF(AND(N15&lt;&gt;"-",N17&lt;&gt;"-"),N17*N15,"-")</f>
        <v>-</v>
      </c>
      <c r="O18" s="98" t="str">
        <f ca="1">IF(AND(O15&lt;&gt;"-",O17&lt;&gt;"-"),O17*O15,"-")</f>
        <v>-</v>
      </c>
      <c r="P18" s="98" t="str">
        <f t="shared" ca="1" si="0"/>
        <v>-</v>
      </c>
      <c r="Q18" s="100" t="str" cm="1">
        <f t="array" aca="1" ref="Q18" ca="1">_xlfn.IFS($T$4=Datasheet!$B$49,"-",$D16="Fri","-",$D16="Forbered/afrig tid","-",$D16="Rejsetid","-",$D16="Rejsetid +50%","-",$D16="Sygdom","-",$D16="optagelse",_xlfn.IFS(Q15="Planmæssigt","-",Q15="Forsinket","-",Q15="Ingen servering","-",Q15="Pause ikke afholdt",($I17*0.75)))</f>
        <v>-</v>
      </c>
      <c r="R18" s="100" t="str" cm="1">
        <f t="array" aca="1" ref="R18" ca="1">_xlfn.IFS($T$4=Datasheet!$B$49,"-",$D16="Fri","-",$D16="Forbered/afrig tid","-",$D16="Rejsetid","-",$D16="Rejsetid +50%","-",$D16="Sygdom","-",$D16="optagelse",_xlfn.IFS(R15="Planmæssigt","-",R15="Forsinket","-",R15="Ingen servering","-",R15="Pause ikke afholdt",($J17*0.5)))</f>
        <v>-</v>
      </c>
      <c r="S18" s="62" t="str" cm="1">
        <f t="array" aca="1" ref="S18" ca="1">_xlfn.IFS($T$4=Datasheet!$B$49,"-",$D16="Fri","-",$D16="Forbered/afrig tid","-",$D16="Rejsetid","-",$D16="Rejsetid +50%","-",$D16="Sygdom","-",$D16="optagelse",_xlfn.IFS(S15="Planmæssigt","-",S15="Forsinket","-",S15="Ingen servering","-",S15="Pause ikke afholdt",(K17*0.25)))</f>
        <v>-</v>
      </c>
      <c r="T18" s="107" t="str" cm="1">
        <f t="array" aca="1" ref="T18" ca="1">_xlfn.IFS($D16="Fri","-",$D16="rejsetid","-",$D16="Rejsetid +50%","-",$D16="Sygdom","-",$D16="Optagelse",(_xlfn.IFS(T17="-","-",T17=0,"-",T17&lt;&gt;0,T17*T16)),$D16="Forbered/afrig tid","-")</f>
        <v>-</v>
      </c>
      <c r="U18" s="104" t="s">
        <v>140</v>
      </c>
      <c r="W18" s="119" cm="1">
        <f t="array" aca="1" ref="W18" ca="1">_xlfn.IFS($D16="Fri",0,$D16="optagelse",(_xlfn.IFS(SUM(H18:T18)=0,0,SUM(H18:T18)&gt;grundløn,SUM(H18:T18),SUM(H18:T18)&lt;=grundløn,grundløn)),$D16="Forbered/afrig tid",(IF(SUM(H18:T18)=0,0,SUM(H18:T18))),$D16="rejsetid",(IF(SUM(H18:T18)=0,0,SUM(H18:T18))),$D16="rejsetid +50%",(IF(SUM(H18:T18)=0,0,SUM(H18:T18))),$D16="sygdom",(IF(SUM(H18:T18)=0,0,SUM(H18:T18))))</f>
        <v>0</v>
      </c>
      <c r="X18" s="64"/>
      <c r="Y18" s="66"/>
    </row>
    <row r="19" spans="2:25" ht="15" thickBot="1" x14ac:dyDescent="0.25">
      <c r="W19" s="120"/>
      <c r="Y19" s="68"/>
    </row>
    <row r="20" spans="2:25" s="14" customFormat="1" ht="30" customHeight="1" thickBot="1" x14ac:dyDescent="0.25">
      <c r="B20" s="27">
        <f>B15+1</f>
        <v>45566</v>
      </c>
      <c r="C20" s="86">
        <f>WEEKDAY(B20,1)</f>
        <v>3</v>
      </c>
      <c r="D20" s="71">
        <v>0.33333333333333331</v>
      </c>
      <c r="E20" s="71">
        <v>0.66666666666666663</v>
      </c>
      <c r="G20" s="89" t="str" cm="1">
        <f t="array" ref="G20">_xlfn.IFS($D21="Fri","-",$D21="Sygdom","-",$D21&lt;&gt;"Fri",IF(AND(E20&gt;0,D20&gt;0),MOD((HOUR(E20)-HOUR(D20))+(MINUTE(E20)-MINUTE(D20))/60,24),0/24))</f>
        <v>-</v>
      </c>
      <c r="H20" s="90" t="str" cm="1">
        <f t="array" aca="1" ref="H20" ca="1">IF($T$4=Datasheet!$B$49,(IF(G20=0,0,(IF(AND(G20&gt;0,G20&lt;=4),4,(IF(AND(G20&gt;=4,G20&lt;=8,G20&lt;&gt;0),G20,8)))))),_xlfn.IFS($D21="Fri","-",$D21="Sygdom","4",$D21="Optagelse",(IF(G20&gt;0,8,0)),$D21="Forbered/afrig tid",(IF(G20=0,0,(IF(AND(G20&gt;0,G20&lt;=4),4,(IF(AND(G20&gt;=4,G20&lt;=8,G20&lt;&gt;0),G20,8)))))),$D21="Rejsetid",(IF(AND(G20&gt;0,G20&lt;=4),4,(IF(G20&gt;=4,G20,0)))),$D21="Rejsetid +50%",(IF(AND(G20&gt;0,G20&lt;=4),4,(IF(G20&gt;=4,G20,0))))))</f>
        <v>-</v>
      </c>
      <c r="I20" s="91" t="str">
        <f>IF(OR(D21="Optagelse",D21="Forbered/afrig tid"),IF(G20&gt;8,(G20-H20-J20-K20-L20),0),"-")</f>
        <v>-</v>
      </c>
      <c r="J20" s="91" t="str">
        <f>IF(OR($D21="Optagelse",$D21="Forbered/afrig tid"),IF(G20&gt;10,(G20-H20-K20-L20)-2,0),"-")</f>
        <v>-</v>
      </c>
      <c r="K20" s="91" t="str">
        <f>IF(OR($D21="Optagelse",$D21="Forbered/afrig tid"),IF(G20&gt;12,(G20-H20-L20)-4,0),"-")</f>
        <v>-</v>
      </c>
      <c r="L20" s="91" t="str">
        <f>IF(OR(D21="Optagelse",$D21="Forbered/afrig tid"),IF(G20&gt;13,(G20-H20)-5,0),"-")</f>
        <v>-</v>
      </c>
      <c r="M20" s="108">
        <v>0.75</v>
      </c>
      <c r="N20" s="92">
        <v>0</v>
      </c>
      <c r="O20" s="92">
        <v>0</v>
      </c>
      <c r="P20" s="92">
        <v>2</v>
      </c>
      <c r="Q20" s="93" t="s">
        <v>96</v>
      </c>
      <c r="R20" s="93" t="s">
        <v>96</v>
      </c>
      <c r="S20" s="93" t="s">
        <v>96</v>
      </c>
      <c r="T20" s="106" t="s">
        <v>101</v>
      </c>
      <c r="U20" s="122" t="s">
        <v>139</v>
      </c>
      <c r="W20" s="117"/>
      <c r="Y20" s="66"/>
    </row>
    <row r="21" spans="2:25" s="14" customFormat="1" ht="15" customHeight="1" x14ac:dyDescent="0.2">
      <c r="B21" s="28"/>
      <c r="C21" s="127" t="s">
        <v>132</v>
      </c>
      <c r="D21" s="130" t="s">
        <v>134</v>
      </c>
      <c r="E21" s="131"/>
      <c r="G21" s="94"/>
      <c r="H21" s="109" t="str">
        <f ca="1">IF($T$4=Datasheet!$B$49,"Timeløn",(IF(D21="Rejsetid +50%","Timeløn +50%",(IF(D21="Fri","-","Timeløn")))))</f>
        <v>-</v>
      </c>
      <c r="I21" s="110" t="str" cm="1">
        <f t="array" aca="1" ref="I21" ca="1">IF($T$4=Datasheet!$B$49,Datasheet!$C$65,(_xlfn.IFS($D21="Fri","-",$D21="Sygdom","-",$D21="Rejsetid","-",D21="Rejsetid +50%","-",D21="Forbered/afrig tid",Datasheet!$C$56,D21="Optagelse",Datasheet!$C$59)))</f>
        <v>-</v>
      </c>
      <c r="J21" s="110" t="str" cm="1">
        <f t="array" aca="1" ref="J21" ca="1">IF($T$4=Datasheet!$B$49,"Rate 1",_xlfn.IFS($D21="Fri","-",$D21="Sygdom","-",$D21="Rejsetid","-",D21="Rejsetid +50%","-",D21="Rejsetid","-",D21="Forbered/afrig tid",Datasheet!$D$56,D21="Optagelse",Datasheet!$D$59))</f>
        <v>-</v>
      </c>
      <c r="K21" s="110" t="str" cm="1">
        <f t="array" aca="1" ref="K21" ca="1">IF($T$4=Datasheet!$B$49,"Rate 1",_xlfn.IFS(D21="Fri","-",D21="Rejsetid","-",$D21="Sygdom","-",$D21="Rejsetid","-",D21="Rejsetid +50%","-",D21="Forbered/afrig tid",Datasheet!$E$56,D21="Optagelse",Datasheet!$E$59))</f>
        <v>-</v>
      </c>
      <c r="L21" s="110" t="str" cm="1">
        <f t="array" aca="1" ref="L21" ca="1">IF($T$4=Datasheet!$B$49,"Rate 2",_xlfn.IFS($D21="Fri","-",$D21="Sygdom","-",$D21="Rejsetid","-",D21="Rejsetid +50%","-",D21="Rejsetid","-",D21="Forbered/afrig tid",Datasheet!$E$56,D21="Optagelse",Datasheet!$F$59))</f>
        <v>-</v>
      </c>
      <c r="M21" s="111" cm="1">
        <f t="array" aca="1" ref="M21" ca="1">IF(AND($C22="Ja",OR($D21="optagelse",$D21="Forbered/afrig tid")),_xlfn.IFS($D21="optagelse",$G20+$P20,$D21="Forbered/afrig tid",$G20),_xlfn.IFS($D21="Fri",0,$D21="rejsetid",0,$D21="rejsetid +50%",0,$D21="sygdom",0,$C20=1,IF(AND($C20=1,$D21="optagelse"),$G20+$P20,G20),$C20=7,IF(AND($C20=7,$D21="optagelse"),$G20+$P20,$G20),$C20=2,IF(($D20*24)&lt;=6,ColTime($D20,6,Datasheet!$C$83,Datasheet!$C$84)*24,0),$C20=3,0,$C20=4,0,$C20=5,0,$C20=6,IF(($D20*24)&gt;6,ColTime($D20,$E20,Datasheet!$C$83,Datasheet!$C$84)*24,0)))</f>
        <v>0</v>
      </c>
      <c r="N21" s="112" t="str">
        <f ca="1">IF($T$4=Datasheet!$B$49,"-",IF($D21="Optagelse","Timetillæg","-"))</f>
        <v>-</v>
      </c>
      <c r="O21" s="112" t="str">
        <f ca="1">IF($T$4=Datasheet!$B$49,"-",IF($D21="Optagelse","Timetillæg","-"))</f>
        <v>-</v>
      </c>
      <c r="P21" s="110" t="str">
        <f ca="1">IF($T$4=Datasheet!$B$49,"-",IF($D21="Optagelse",Datasheet!$B$77,"-"))</f>
        <v>-</v>
      </c>
      <c r="Q21" s="113" t="str" cm="1">
        <f t="array" aca="1" ref="Q21" ca="1">(_xlfn.IFS($T$4=Datasheet!$B$49,"-",$D21="Fri","-",$D21="Forbered/afrig tid","-",$D21="Rejsetid","-",$D21="Rejsetid +50%","-",$D21="Sygdom","-",$D21="optagelse",(_xlfn.IFS(Q20="Planmæssigt","-",Q20="Forsinket","Diæt",Q20="Ingen servering","Diæt",Q20="Pause ikke afholdt","Diæt + 45min"))))</f>
        <v>-</v>
      </c>
      <c r="R21" s="113" t="str" cm="1">
        <f t="array" aca="1" ref="R21" ca="1">_xlfn.IFS($T$4=Datasheet!$B$49,"-",$D21="Fri","-",$D21="Forbered/afrig tid","-",$D21="Rejsetid","-",$D21="Rejsetid +50%","-",$D21="Sygdom","-",$D21="optagelse",(_xlfn.IFS(R20="Planmæssigt","-",R20="Forsinket","Diæt",R20="Ingen servering","Diæt",R20="Pause ikke afholdt","Diæt + 30min")))</f>
        <v>-</v>
      </c>
      <c r="S21" s="113" t="str" cm="1">
        <f t="array" aca="1" ref="S21" ca="1">_xlfn.IFS($T$4=Datasheet!$B$49,"-",$D21="Fri","-",$D21="Forbered/afrig tid","-",$D21="Rejsetid","-",$D21="Rejsetid +50%","-",$D21="Sygdom","-",$D21="optagelse",(_xlfn.IFS(S20="Planmæssigt","-",S20="Forsinket","Diæt",S20="Ingen servering","Diæt",S20="Pause ikke afholdt","Diæt + 15min")))</f>
        <v>-</v>
      </c>
      <c r="T21" s="105" t="str" cm="1">
        <f t="array" aca="1" ref="T21" ca="1">IF($T9=Datasheet!$B$49,"-",IF(D21="Optagelse",_xlfn.IFS(T20="Ingen rabat","-",T20="Rabat A",Datasheet!$B$96,T20="Rabat B",Datasheet!$B$97),"-"))</f>
        <v>-</v>
      </c>
      <c r="U21" s="95" t="str">
        <f>IF(U20="Ingen diæt","-",U20)</f>
        <v>-</v>
      </c>
      <c r="W21" s="117"/>
      <c r="Y21" s="66"/>
    </row>
    <row r="22" spans="2:25" s="14" customFormat="1" ht="15" customHeight="1" thickBot="1" x14ac:dyDescent="0.25">
      <c r="B22" s="80"/>
      <c r="C22" s="128" t="s">
        <v>133</v>
      </c>
      <c r="D22" s="132"/>
      <c r="E22" s="133"/>
      <c r="G22" s="101"/>
      <c r="H22" s="17" t="str" cm="1">
        <f t="array" aca="1" ref="H22" ca="1">IF($T$4=Datasheet!$B$49,grundløn/8,(_xlfn.IFS($D21="Fri","-",$D21="Optagelse",grundløn/8,$D21="rejsetid",grundløn/8,$D21="rejsetid +50%",(grundløn/8)*1.5,$D21="Forbered/afrig tid",grundløn/8,$D21="Sygdom",grundløn/8)))</f>
        <v>-</v>
      </c>
      <c r="I22" s="17" t="str" cm="1">
        <f t="array" aca="1" ref="I22" ca="1">IF($T$4=Datasheet!$B$49,Datasheet!$C$66,_xlfn.IFS($D21="Fri","-",$D21="Sygdom","-",$D21="Rejsetid","-",D21="Rejsetid +50%","-",$D21="Optagelse",grundløn/8*$I21+grundløn/8,$D21="rejsetid","-",$D21="Forbered/afrig tid",grundløn/8*$I21+grundløn/8))</f>
        <v>-</v>
      </c>
      <c r="J22" s="17" t="str" cm="1">
        <f t="array" aca="1" ref="J22" ca="1">IF($T$4=Datasheet!$B$49,Datasheet!$C$66,_xlfn.IFS($D21="Fri","-",$D21="Sygdom","-",$D21="Rejsetid","-",D21="Rejsetid +50%","-",$D21="Optagelse",grundløn/8*$J21+grundløn/8,$D21="rejsetid","-",$D21="Forbered/afrig tid",grundløn/8*$J21+grundløn/8))</f>
        <v>-</v>
      </c>
      <c r="K22" s="17" t="str" cm="1">
        <f t="array" aca="1" ref="K22" ca="1">IF($T$4=Datasheet!$B$49,Datasheet!$C$66,_xlfn.IFS($D21="Fri","-",$D21="Sygdom","-",$D21="Rejsetid","-",D21="Rejsetid +50%","-",$D21="Optagelse",grundløn/8*$K21+grundløn/8,$D21="rejsetid","-",$D21="Forbered/afrig tid",grundløn/8*$K21+grundløn/8))</f>
        <v>-</v>
      </c>
      <c r="L22" s="17" t="str" cm="1">
        <f t="array" aca="1" ref="L22" ca="1">IF($T$4=Datasheet!$B$49,Datasheet!$D$66,_xlfn.IFS($D21="Fri","-",$D21="Sygdom","-",$D21="Rejsetid","-",D21="Rejsetid +50%","-",$D21="Optagelse",grundløn/8*$L21+grundløn/8,$D21="rejsetid","-",$D21="Forbered/afrig tid",grundløn/8*$L21+grundløn/8))</f>
        <v>-</v>
      </c>
      <c r="M22" s="83" t="str">
        <f ca="1">IF(AND(M21&lt;&gt;0,M21&lt;&gt;"-"),H22*M20,"-")</f>
        <v>-</v>
      </c>
      <c r="N22" s="17" t="str">
        <f ca="1">IF($T$4=Datasheet!$B$49,"-",IF($D21="Optagelse",Datasheet!$B$82,"-"))</f>
        <v>-</v>
      </c>
      <c r="O22" s="17" t="str">
        <f ca="1">IF($T$4=Datasheet!$B$49,"-",IF($D21="Optagelse",Datasheet!$B$83,"-"))</f>
        <v>-</v>
      </c>
      <c r="P22" s="16" t="str">
        <f ca="1">IF($T$4=Datasheet!$B$49,"-",IF(D21="Optagelse",((grundløn/8)*P21+grundløn/8),"-"))</f>
        <v>-</v>
      </c>
      <c r="Q22" s="16" t="str" cm="1">
        <f t="array" aca="1" ref="Q22" ca="1">_xlfn.IFS($T$4=Datasheet!$B$49,"-",$D21="Fri","-",$D21="Forbered/afrig tid","-",$D21="Rejsetid","-",$D21="Rejsetid +50%","-",$D21="Sygdom","-",$D21="optagelse",_xlfn.IFS(Q20="Planmæssigt","-",Q20="Forsinket",Datasheet!$B$88,Q20="Ingen servering",Datasheet!$B$88,Q20="Pause ikke afholdt",Datasheet!$B$88))</f>
        <v>-</v>
      </c>
      <c r="R22" s="16" t="str" cm="1">
        <f t="array" aca="1" ref="R22" ca="1">_xlfn.IFS($T$4=Datasheet!$B$49,"-",$D21="Fri","-",$D21="Forbered/afrig tid","-",$D21="Rejsetid","-",$D21="Rejsetid +50%","-",$D21="Sygdom","-",$D21="optagelse",_xlfn.IFS(R20="Planmæssigt","-",R20="Forsinket",Datasheet!$B$88,R20="Ingen servering",Datasheet!$B$88,R20="Pause ikke afholdt",Datasheet!$B$88))</f>
        <v>-</v>
      </c>
      <c r="S22" s="16" t="str" cm="1">
        <f t="array" aca="1" ref="S22" ca="1">_xlfn.IFS($T$4=Datasheet!$B$49,"-",$D21="Fri","-",$D21="Forbered/afrig tid","-",$D21="Rejsetid","-",$D21="Rejsetid +50%","-",$D21="Sygdom","-",$D21="optagelse",_xlfn.IFS(S20="Planmæssigt","-",S20="Forsinket",Datasheet!$B$88,S20="Ingen servering",Datasheet!$B$88,S20="Pause ikke afholdt",Datasheet!$B$88))</f>
        <v>-</v>
      </c>
      <c r="T22" s="16" t="str" cm="1">
        <f t="array" aca="1" ref="T22" ca="1">IF($T9=Datasheet!$B$49,"-",(_xlfn.IFS($D21="Fri","-",$D21="rejsetid","-",$D21="Rejsetid +50%","-",$D21="Sygdom","-",$D21="Forbered/afrig tid","-",$D21="Optagelse",(IF(T20="Ingen rabat","-",(SUM(H23:S23)))))))</f>
        <v>-</v>
      </c>
      <c r="U22" s="96" t="str" cm="1">
        <f t="array" aca="1" ref="U22" ca="1">IF(OR(Q21&lt;&gt;"-",R21&lt;&gt;"-",S21&lt;&gt;"-",D21="Fri"),"-",_xlfn.IFS(U21="-","-",U21="Morgen",86.1,U21="Morgen+Frokost",258.3,U21="Frokost el. Aften",172.2,U21="Frokost+Aften", 344.4,U21="Fuld kost",420.5))</f>
        <v>-</v>
      </c>
      <c r="W22" s="118"/>
      <c r="X22" s="63"/>
      <c r="Y22" s="67">
        <f ca="1">SUM(Q22:S22)+SUM(U22)</f>
        <v>0</v>
      </c>
    </row>
    <row r="23" spans="2:25" s="14" customFormat="1" ht="15" customHeight="1" thickBot="1" x14ac:dyDescent="0.25">
      <c r="D23" s="85"/>
      <c r="G23" s="97"/>
      <c r="H23" s="98" t="str">
        <f>IF($D21="Fri","-",(IF(H20&gt;0,H22*H20,"-")))</f>
        <v>-</v>
      </c>
      <c r="I23" s="98" t="str">
        <f ca="1">IF(AND(I20&lt;&gt;"-",I22&lt;&gt;"-"),I22*I20,"-")</f>
        <v>-</v>
      </c>
      <c r="J23" s="98" t="str">
        <f t="shared" ref="J23:L23" ca="1" si="1">IF(AND(J20&lt;&gt;"-",J22&lt;&gt;"-"),J22*J20,"-")</f>
        <v>-</v>
      </c>
      <c r="K23" s="98" t="str">
        <f t="shared" ca="1" si="1"/>
        <v>-</v>
      </c>
      <c r="L23" s="98" t="str">
        <f t="shared" ca="1" si="1"/>
        <v>-</v>
      </c>
      <c r="M23" s="99" t="str">
        <f ca="1">IF(M22&lt;&gt;"-",M22*M21,"-")</f>
        <v>-</v>
      </c>
      <c r="N23" s="98" t="str">
        <f ca="1">IF(AND(N20&lt;&gt;"-",N22&lt;&gt;"-"),N22*N20,"-")</f>
        <v>-</v>
      </c>
      <c r="O23" s="98" t="str">
        <f ca="1">IF(AND(O20&lt;&gt;"-",O22&lt;&gt;"-"),O22*O20,"-")</f>
        <v>-</v>
      </c>
      <c r="P23" s="98" t="str">
        <f t="shared" ref="P23" ca="1" si="2">IF(AND(P20&lt;&gt;"-",P22&lt;&gt;"-"),P22*P20,"-")</f>
        <v>-</v>
      </c>
      <c r="Q23" s="100" t="str" cm="1">
        <f t="array" aca="1" ref="Q23" ca="1">_xlfn.IFS($T$4=Datasheet!$B$49,"-",$D21="Fri","-",$D21="Forbered/afrig tid","-",$D21="Rejsetid","-",$D21="Rejsetid +50%","-",$D21="Sygdom","-",$D21="optagelse",_xlfn.IFS(Q20="Planmæssigt","-",Q20="Forsinket","-",Q20="Ingen servering","-",Q20="Pause ikke afholdt",($I22*0.75)))</f>
        <v>-</v>
      </c>
      <c r="R23" s="100" t="str" cm="1">
        <f t="array" aca="1" ref="R23" ca="1">_xlfn.IFS($T$4=Datasheet!$B$49,"-",$D21="Fri","-",$D21="Forbered/afrig tid","-",$D21="Rejsetid","-",$D21="Rejsetid +50%","-",$D21="Sygdom","-",$D21="optagelse",_xlfn.IFS(R20="Planmæssigt","-",R20="Forsinket","-",R20="Ingen servering","-",R20="Pause ikke afholdt",($J22*0.5)))</f>
        <v>-</v>
      </c>
      <c r="S23" s="62" t="str" cm="1">
        <f t="array" aca="1" ref="S23" ca="1">_xlfn.IFS($T$4=Datasheet!$B$49,"-",$D21="Fri","-",$D21="Forbered/afrig tid","-",$D21="Rejsetid","-",$D21="Rejsetid +50%","-",$D21="Sygdom","-",$D21="optagelse",_xlfn.IFS(S20="Planmæssigt","-",S20="Forsinket","-",S20="Ingen servering","-",S20="Pause ikke afholdt",(K22*0.25)))</f>
        <v>-</v>
      </c>
      <c r="T23" s="107" t="str" cm="1">
        <f t="array" aca="1" ref="T23" ca="1">_xlfn.IFS($D21="Fri","-",$D21="rejsetid","-",$D21="Rejsetid +50%","-",$D21="Sygdom","-",$D21="Optagelse",(_xlfn.IFS(T22="-","-",T22=0,"-",T22&lt;&gt;0,T22*T21)),$D21="Forbered/afrig tid","-")</f>
        <v>-</v>
      </c>
      <c r="U23" s="104" t="s">
        <v>140</v>
      </c>
      <c r="W23" s="119" cm="1">
        <f t="array" aca="1" ref="W23" ca="1">_xlfn.IFS($D21="Fri",0,$D21="optagelse",(_xlfn.IFS(SUM(H23:T23)=0,0,SUM(H23:T23)&gt;grundløn,SUM(H23:T23),SUM(H23:T23)&lt;=grundløn,grundløn)),$D21="Forbered/afrig tid",(IF(SUM(H23:T23)=0,0,SUM(H23:T23))),$D21="rejsetid",(IF(SUM(H23:T23)=0,0,SUM(H23:T23))),$D21="rejsetid +50%",(IF(SUM(H23:T23)=0,0,SUM(H23:T23))),$D21="sygdom",(IF(SUM(H23:T23)=0,0,SUM(H23:T23))))</f>
        <v>0</v>
      </c>
      <c r="X23" s="64"/>
      <c r="Y23" s="66"/>
    </row>
    <row r="24" spans="2:25" ht="15" thickBot="1" x14ac:dyDescent="0.25">
      <c r="W24" s="120"/>
      <c r="Y24" s="68"/>
    </row>
    <row r="25" spans="2:25" s="14" customFormat="1" ht="30" customHeight="1" thickBot="1" x14ac:dyDescent="0.25">
      <c r="B25" s="27">
        <f>B20+1</f>
        <v>45567</v>
      </c>
      <c r="C25" s="86">
        <f>WEEKDAY(B25,1)</f>
        <v>4</v>
      </c>
      <c r="D25" s="71">
        <v>0.33333333333333331</v>
      </c>
      <c r="E25" s="71">
        <v>0.70833333333333337</v>
      </c>
      <c r="G25" s="89" t="str" cm="1">
        <f t="array" ref="G25">_xlfn.IFS($D26="Fri","-",$D26="Sygdom","-",$D26&lt;&gt;"Fri",IF(AND(E25&gt;0,D25&gt;0),MOD((HOUR(E25)-HOUR(D25))+(MINUTE(E25)-MINUTE(D25))/60,24),0/24))</f>
        <v>-</v>
      </c>
      <c r="H25" s="90" t="str" cm="1">
        <f t="array" aca="1" ref="H25" ca="1">IF($T$4=Datasheet!$B$49,(IF(G25=0,0,(IF(AND(G25&gt;0,G25&lt;=4),4,(IF(AND(G25&gt;=4,G25&lt;=8,G25&lt;&gt;0),G25,8)))))),_xlfn.IFS($D26="Fri","-",$D26="Sygdom","4",$D26="Optagelse",(IF(G25&gt;0,8,0)),$D26="Forbered/afrig tid",(IF(G25=0,0,(IF(AND(G25&gt;0,G25&lt;=4),4,(IF(AND(G25&gt;=4,G25&lt;=8,G25&lt;&gt;0),G25,8)))))),$D26="Rejsetid",(IF(AND(G25&gt;0,G25&lt;=4),4,(IF(G25&gt;=4,G25,0)))),$D26="Rejsetid +50%",(IF(AND(G25&gt;0,G25&lt;=4),4,(IF(G25&gt;=4,G25,0))))))</f>
        <v>-</v>
      </c>
      <c r="I25" s="91" t="str">
        <f>IF(OR(D26="Optagelse",D26="Forbered/afrig tid"),IF(G25&gt;8,(G25-H25-J25-K25-L25),0),"-")</f>
        <v>-</v>
      </c>
      <c r="J25" s="91" t="str">
        <f>IF(OR($D26="Optagelse",$D26="Forbered/afrig tid"),IF(G25&gt;10,(G25-H25-K25-L25)-2,0),"-")</f>
        <v>-</v>
      </c>
      <c r="K25" s="91" t="str">
        <f>IF(OR($D26="Optagelse",$D26="Forbered/afrig tid"),IF(G25&gt;12,(G25-H25-L25)-4,0),"-")</f>
        <v>-</v>
      </c>
      <c r="L25" s="91" t="str">
        <f>IF(OR(D26="Optagelse",$D26="Forbered/afrig tid"),IF(G25&gt;13,(G25-H25)-5,0),"-")</f>
        <v>-</v>
      </c>
      <c r="M25" s="108">
        <v>0.75</v>
      </c>
      <c r="N25" s="92">
        <v>0</v>
      </c>
      <c r="O25" s="92">
        <v>0</v>
      </c>
      <c r="P25" s="92">
        <v>2</v>
      </c>
      <c r="Q25" s="93" t="s">
        <v>96</v>
      </c>
      <c r="R25" s="93" t="s">
        <v>96</v>
      </c>
      <c r="S25" s="93" t="s">
        <v>96</v>
      </c>
      <c r="T25" s="106" t="s">
        <v>101</v>
      </c>
      <c r="U25" s="122" t="s">
        <v>139</v>
      </c>
      <c r="W25" s="117"/>
      <c r="Y25" s="66"/>
    </row>
    <row r="26" spans="2:25" s="14" customFormat="1" ht="15" customHeight="1" x14ac:dyDescent="0.2">
      <c r="B26" s="28"/>
      <c r="C26" s="127" t="s">
        <v>132</v>
      </c>
      <c r="D26" s="130" t="s">
        <v>134</v>
      </c>
      <c r="E26" s="131"/>
      <c r="G26" s="94"/>
      <c r="H26" s="109" t="str">
        <f ca="1">IF($T$4=Datasheet!$B$49,"Timeløn",(IF(D26="Rejsetid +50%","Timeløn +50%",(IF(D26="Fri","-","Timeløn")))))</f>
        <v>-</v>
      </c>
      <c r="I26" s="110" t="str" cm="1">
        <f t="array" aca="1" ref="I26" ca="1">IF($T$4=Datasheet!$B$49,Datasheet!$C$65,(_xlfn.IFS($D26="Fri","-",$D26="Sygdom","-",$D26="Rejsetid","-",D26="Rejsetid +50%","-",D26="Forbered/afrig tid",Datasheet!$C$56,D26="Optagelse",Datasheet!$C$59)))</f>
        <v>-</v>
      </c>
      <c r="J26" s="110" t="str" cm="1">
        <f t="array" aca="1" ref="J26" ca="1">IF($T$4=Datasheet!$B$49,"Rate 1",_xlfn.IFS($D26="Fri","-",$D26="Sygdom","-",$D26="Rejsetid","-",D26="Rejsetid +50%","-",D26="Rejsetid","-",D26="Forbered/afrig tid",Datasheet!$D$56,D26="Optagelse",Datasheet!$D$59))</f>
        <v>-</v>
      </c>
      <c r="K26" s="110" t="str" cm="1">
        <f t="array" aca="1" ref="K26" ca="1">IF($T$4=Datasheet!$B$49,"Rate 1",_xlfn.IFS(D26="Fri","-",D26="Rejsetid","-",$D26="Sygdom","-",$D26="Rejsetid","-",D26="Rejsetid +50%","-",D26="Forbered/afrig tid",Datasheet!$E$56,D26="Optagelse",Datasheet!$E$59))</f>
        <v>-</v>
      </c>
      <c r="L26" s="110" t="str" cm="1">
        <f t="array" aca="1" ref="L26" ca="1">IF($T$4=Datasheet!$B$49,"Rate 2",_xlfn.IFS($D26="Fri","-",$D26="Sygdom","-",$D26="Rejsetid","-",D26="Rejsetid +50%","-",D26="Rejsetid","-",D26="Forbered/afrig tid",Datasheet!$E$56,D26="Optagelse",Datasheet!$F$59))</f>
        <v>-</v>
      </c>
      <c r="M26" s="111" cm="1">
        <f t="array" aca="1" ref="M26" ca="1">IF(AND($C27="Ja",OR($D26="optagelse",$D26="Forbered/afrig tid")),_xlfn.IFS($D26="optagelse",$G25+$P25,$D26="Forbered/afrig tid",$G25),_xlfn.IFS($D26="Fri",0,$D26="rejsetid",0,$D26="rejsetid +50%",0,$D26="sygdom",0,$C25=1,IF(AND($C25=1,$D26="optagelse"),$G25+$P25,G25),$C25=7,IF(AND($C25=7,$D26="optagelse"),$G25+$P25,$G25),$C25=2,IF(($D25*24)&lt;=6,ColTime($D25,6,Datasheet!$C$83,Datasheet!$C$84)*24,0),$C25=3,0,$C25=4,0,$C25=5,0,$C25=6,IF(($D25*24)&gt;6,ColTime($D25,$E25,Datasheet!$C$83,Datasheet!$C$84)*24,0)))</f>
        <v>0</v>
      </c>
      <c r="N26" s="112" t="str">
        <f ca="1">IF($T$4=Datasheet!$B$49,"-",IF($D26="Optagelse","Timetillæg","-"))</f>
        <v>-</v>
      </c>
      <c r="O26" s="112" t="str">
        <f ca="1">IF($T$4=Datasheet!$B$49,"-",IF($D26="Optagelse","Timetillæg","-"))</f>
        <v>-</v>
      </c>
      <c r="P26" s="110" t="str">
        <f ca="1">IF($T$4=Datasheet!$B$49,"-",IF($D26="Optagelse",Datasheet!$B$77,"-"))</f>
        <v>-</v>
      </c>
      <c r="Q26" s="113" t="str" cm="1">
        <f t="array" aca="1" ref="Q26" ca="1">(_xlfn.IFS($T$4=Datasheet!$B$49,"-",$D26="Fri","-",$D26="Forbered/afrig tid","-",$D26="Rejsetid","-",$D26="Rejsetid +50%","-",$D26="Sygdom","-",$D26="optagelse",(_xlfn.IFS(Q25="Planmæssigt","-",Q25="Forsinket","Diæt",Q25="Ingen servering","Diæt",Q25="Pause ikke afholdt","Diæt + 45min"))))</f>
        <v>-</v>
      </c>
      <c r="R26" s="113" t="str" cm="1">
        <f t="array" aca="1" ref="R26" ca="1">_xlfn.IFS($T$4=Datasheet!$B$49,"-",$D26="Fri","-",$D26="Forbered/afrig tid","-",$D26="Rejsetid","-",$D26="Rejsetid +50%","-",$D26="Sygdom","-",$D26="optagelse",(_xlfn.IFS(R25="Planmæssigt","-",R25="Forsinket","Diæt",R25="Ingen servering","Diæt",R25="Pause ikke afholdt","Diæt + 30min")))</f>
        <v>-</v>
      </c>
      <c r="S26" s="113" t="str" cm="1">
        <f t="array" aca="1" ref="S26" ca="1">_xlfn.IFS($T$4=Datasheet!$B$49,"-",$D26="Fri","-",$D26="Forbered/afrig tid","-",$D26="Rejsetid","-",$D26="Rejsetid +50%","-",$D26="Sygdom","-",$D26="optagelse",(_xlfn.IFS(S25="Planmæssigt","-",S25="Forsinket","Diæt",S25="Ingen servering","Diæt",S25="Pause ikke afholdt","Diæt + 15min")))</f>
        <v>-</v>
      </c>
      <c r="T26" s="105" t="str" cm="1">
        <f t="array" aca="1" ref="T26" ca="1">IF($T14=Datasheet!$B$49,"-",IF(D26="Optagelse",_xlfn.IFS(T25="Ingen rabat","-",T25="Rabat A",Datasheet!$B$96,T25="Rabat B",Datasheet!$B$97),"-"))</f>
        <v>-</v>
      </c>
      <c r="U26" s="95" t="str">
        <f>IF(U25="Ingen diæt","-",U25)</f>
        <v>-</v>
      </c>
      <c r="W26" s="117"/>
      <c r="Y26" s="66"/>
    </row>
    <row r="27" spans="2:25" s="14" customFormat="1" ht="15" customHeight="1" thickBot="1" x14ac:dyDescent="0.25">
      <c r="B27" s="80"/>
      <c r="C27" s="128" t="s">
        <v>133</v>
      </c>
      <c r="D27" s="132"/>
      <c r="E27" s="133"/>
      <c r="G27" s="101"/>
      <c r="H27" s="17" t="str" cm="1">
        <f t="array" aca="1" ref="H27" ca="1">IF($T$4=Datasheet!$B$49,grundløn/8,(_xlfn.IFS($D26="Fri","-",$D26="Optagelse",grundløn/8,$D26="rejsetid",grundløn/8,$D26="rejsetid +50%",(grundløn/8)*1.5,$D26="Forbered/afrig tid",grundløn/8,$D26="Sygdom",grundløn/8)))</f>
        <v>-</v>
      </c>
      <c r="I27" s="17" t="str" cm="1">
        <f t="array" aca="1" ref="I27" ca="1">IF($T$4=Datasheet!$B$49,Datasheet!$C$66,_xlfn.IFS($D26="Fri","-",$D26="Sygdom","-",$D26="Rejsetid","-",D26="Rejsetid +50%","-",$D26="Optagelse",grundløn/8*$I26+grundløn/8,$D26="rejsetid","-",$D26="Forbered/afrig tid",grundløn/8*$I26+grundløn/8))</f>
        <v>-</v>
      </c>
      <c r="J27" s="17" t="str" cm="1">
        <f t="array" aca="1" ref="J27" ca="1">IF($T$4=Datasheet!$B$49,Datasheet!$C$66,_xlfn.IFS($D26="Fri","-",$D26="Sygdom","-",$D26="Rejsetid","-",D26="Rejsetid +50%","-",$D26="Optagelse",grundløn/8*$J26+grundløn/8,$D26="rejsetid","-",$D26="Forbered/afrig tid",grundløn/8*$J26+grundløn/8))</f>
        <v>-</v>
      </c>
      <c r="K27" s="17" t="str" cm="1">
        <f t="array" aca="1" ref="K27" ca="1">IF($T$4=Datasheet!$B$49,Datasheet!$C$66,_xlfn.IFS($D26="Fri","-",$D26="Sygdom","-",$D26="Rejsetid","-",D26="Rejsetid +50%","-",$D26="Optagelse",grundløn/8*$K26+grundløn/8,$D26="rejsetid","-",$D26="Forbered/afrig tid",grundløn/8*$K26+grundløn/8))</f>
        <v>-</v>
      </c>
      <c r="L27" s="17" t="str" cm="1">
        <f t="array" aca="1" ref="L27" ca="1">IF($T$4=Datasheet!$B$49,Datasheet!$D$66,_xlfn.IFS($D26="Fri","-",$D26="Sygdom","-",$D26="Rejsetid","-",D26="Rejsetid +50%","-",$D26="Optagelse",grundløn/8*$L26+grundløn/8,$D26="rejsetid","-",$D26="Forbered/afrig tid",grundløn/8*$L26+grundløn/8))</f>
        <v>-</v>
      </c>
      <c r="M27" s="83" t="str">
        <f ca="1">IF(AND(M26&lt;&gt;0,M26&lt;&gt;"-"),H27*M25,"-")</f>
        <v>-</v>
      </c>
      <c r="N27" s="17" t="str">
        <f ca="1">IF($T$4=Datasheet!$B$49,"-",IF($D26="Optagelse",Datasheet!$B$82,"-"))</f>
        <v>-</v>
      </c>
      <c r="O27" s="17" t="str">
        <f ca="1">IF($T$4=Datasheet!$B$49,"-",IF($D26="Optagelse",Datasheet!$B$83,"-"))</f>
        <v>-</v>
      </c>
      <c r="P27" s="16" t="str">
        <f ca="1">IF($T$4=Datasheet!$B$49,"-",IF(D26="Optagelse",((grundløn/8)*P26+grundløn/8),"-"))</f>
        <v>-</v>
      </c>
      <c r="Q27" s="16" t="str" cm="1">
        <f t="array" aca="1" ref="Q27" ca="1">_xlfn.IFS($T$4=Datasheet!$B$49,"-",$D26="Fri","-",$D26="Forbered/afrig tid","-",$D26="Rejsetid","-",$D26="Rejsetid +50%","-",$D26="Sygdom","-",$D26="optagelse",_xlfn.IFS(Q25="Planmæssigt","-",Q25="Forsinket",Datasheet!$B$88,Q25="Ingen servering",Datasheet!$B$88,Q25="Pause ikke afholdt",Datasheet!$B$88))</f>
        <v>-</v>
      </c>
      <c r="R27" s="16" t="str" cm="1">
        <f t="array" aca="1" ref="R27" ca="1">_xlfn.IFS($T$4=Datasheet!$B$49,"-",$D26="Fri","-",$D26="Forbered/afrig tid","-",$D26="Rejsetid","-",$D26="Rejsetid +50%","-",$D26="Sygdom","-",$D26="optagelse",_xlfn.IFS(R25="Planmæssigt","-",R25="Forsinket",Datasheet!$B$88,R25="Ingen servering",Datasheet!$B$88,R25="Pause ikke afholdt",Datasheet!$B$88))</f>
        <v>-</v>
      </c>
      <c r="S27" s="16" t="str" cm="1">
        <f t="array" aca="1" ref="S27" ca="1">_xlfn.IFS($T$4=Datasheet!$B$49,"-",$D26="Fri","-",$D26="Forbered/afrig tid","-",$D26="Rejsetid","-",$D26="Rejsetid +50%","-",$D26="Sygdom","-",$D26="optagelse",_xlfn.IFS(S25="Planmæssigt","-",S25="Forsinket",Datasheet!$B$88,S25="Ingen servering",Datasheet!$B$88,S25="Pause ikke afholdt",Datasheet!$B$88))</f>
        <v>-</v>
      </c>
      <c r="T27" s="16" t="str" cm="1">
        <f t="array" aca="1" ref="T27" ca="1">IF($T14=Datasheet!$B$49,"-",(_xlfn.IFS($D26="Fri","-",$D26="rejsetid","-",$D26="Rejsetid +50%","-",$D26="Sygdom","-",$D26="Forbered/afrig tid","-",$D26="Optagelse",(IF(T25="Ingen rabat","-",(SUM(H28:S28)))))))</f>
        <v>-</v>
      </c>
      <c r="U27" s="96" t="str" cm="1">
        <f t="array" aca="1" ref="U27" ca="1">IF(OR($Q26&lt;&gt;"-",$R26&lt;&gt;"-",$S26&lt;&gt;"-",D26="Fri"),"-",_xlfn.IFS(U26="-","-",U26="Morgen",86.1,U26="Morgen+Frokost",258.3,U26="Frokost el. Aften",172.2,U26="Frokost+Aften", 344.4,U26="Fuld kost",420.5))</f>
        <v>-</v>
      </c>
      <c r="W27" s="118"/>
      <c r="X27" s="63"/>
      <c r="Y27" s="67">
        <f ca="1">SUM(Q27:S27)+SUM(U27)</f>
        <v>0</v>
      </c>
    </row>
    <row r="28" spans="2:25" s="14" customFormat="1" ht="15" customHeight="1" thickBot="1" x14ac:dyDescent="0.25">
      <c r="D28" s="85"/>
      <c r="G28" s="97"/>
      <c r="H28" s="98" t="str">
        <f>IF($D26="Fri","-",(IF(H25&gt;0,H27*H25,"-")))</f>
        <v>-</v>
      </c>
      <c r="I28" s="98" t="str">
        <f ca="1">IF(AND(I25&lt;&gt;"-",I27&lt;&gt;"-"),I27*I25,"-")</f>
        <v>-</v>
      </c>
      <c r="J28" s="98" t="str">
        <f t="shared" ref="J28:L28" ca="1" si="3">IF(AND(J25&lt;&gt;"-",J27&lt;&gt;"-"),J27*J25,"-")</f>
        <v>-</v>
      </c>
      <c r="K28" s="98" t="str">
        <f t="shared" ca="1" si="3"/>
        <v>-</v>
      </c>
      <c r="L28" s="98" t="str">
        <f t="shared" ca="1" si="3"/>
        <v>-</v>
      </c>
      <c r="M28" s="99" t="str">
        <f ca="1">IF(M27&lt;&gt;"-",M27*M26,"-")</f>
        <v>-</v>
      </c>
      <c r="N28" s="98" t="str">
        <f ca="1">IF(AND(N25&lt;&gt;"-",N27&lt;&gt;"-"),N27*N25,"-")</f>
        <v>-</v>
      </c>
      <c r="O28" s="98" t="str">
        <f ca="1">IF(AND(O25&lt;&gt;"-",O27&lt;&gt;"-"),O27*O25,"-")</f>
        <v>-</v>
      </c>
      <c r="P28" s="98" t="str">
        <f t="shared" ref="P28" ca="1" si="4">IF(AND(P25&lt;&gt;"-",P27&lt;&gt;"-"),P27*P25,"-")</f>
        <v>-</v>
      </c>
      <c r="Q28" s="100" t="str" cm="1">
        <f t="array" aca="1" ref="Q28" ca="1">_xlfn.IFS($T$4=Datasheet!$B$49,"-",$D26="Fri","-",$D26="Forbered/afrig tid","-",$D26="Rejsetid","-",$D26="Rejsetid +50%","-",$D26="Sygdom","-",$D26="optagelse",_xlfn.IFS(Q25="Planmæssigt","-",Q25="Forsinket","-",Q25="Ingen servering","-",Q25="Pause ikke afholdt",($I27*0.75)))</f>
        <v>-</v>
      </c>
      <c r="R28" s="100" t="str" cm="1">
        <f t="array" aca="1" ref="R28" ca="1">_xlfn.IFS($T$4=Datasheet!$B$49,"-",$D26="Fri","-",$D26="Forbered/afrig tid","-",$D26="Rejsetid","-",$D26="Rejsetid +50%","-",$D26="Sygdom","-",$D26="optagelse",_xlfn.IFS(R25="Planmæssigt","-",R25="Forsinket","-",R25="Ingen servering","-",R25="Pause ikke afholdt",($J27*0.5)))</f>
        <v>-</v>
      </c>
      <c r="S28" s="62" t="str" cm="1">
        <f t="array" aca="1" ref="S28" ca="1">_xlfn.IFS($T$4=Datasheet!$B$49,"-",$D26="Fri","-",$D26="Forbered/afrig tid","-",$D26="Rejsetid","-",$D26="Rejsetid +50%","-",$D26="Sygdom","-",$D26="optagelse",_xlfn.IFS(S25="Planmæssigt","-",S25="Forsinket","-",S25="Ingen servering","-",S25="Pause ikke afholdt",(K27*0.25)))</f>
        <v>-</v>
      </c>
      <c r="T28" s="107" t="str" cm="1">
        <f t="array" aca="1" ref="T28" ca="1">_xlfn.IFS($D26="Fri","-",$D26="rejsetid","-",$D26="Rejsetid +50%","-",$D26="Sygdom","-",$D26="Optagelse",(_xlfn.IFS(T27="-","-",T27=0,"-",T27&lt;&gt;0,T27*T26)),$D26="Forbered/afrig tid","-")</f>
        <v>-</v>
      </c>
      <c r="U28" s="104" t="s">
        <v>140</v>
      </c>
      <c r="W28" s="119" cm="1">
        <f t="array" aca="1" ref="W28" ca="1">_xlfn.IFS($D26="Fri",0,$D26="optagelse",(_xlfn.IFS(SUM(H28:T28)=0,0,SUM(H28:T28)&gt;grundløn,SUM(H28:T28),SUM(H28:T28)&lt;=grundløn,grundløn)),$D26="Forbered/afrig tid",(IF(SUM(H28:T28)=0,0,SUM(H28:T28))),$D26="rejsetid",(IF(SUM(H28:T28)=0,0,SUM(H28:T28))),$D26="rejsetid +50%",(IF(SUM(H28:T28)=0,0,SUM(H28:T28))),$D26="sygdom",(IF(SUM(H28:T28)=0,0,SUM(H28:T28))))</f>
        <v>0</v>
      </c>
      <c r="X28" s="64"/>
      <c r="Y28" s="66"/>
    </row>
    <row r="29" spans="2:25" ht="15" thickBot="1" x14ac:dyDescent="0.25">
      <c r="W29" s="120"/>
      <c r="Y29" s="68"/>
    </row>
    <row r="30" spans="2:25" s="14" customFormat="1" ht="30" customHeight="1" thickBot="1" x14ac:dyDescent="0.25">
      <c r="B30" s="27">
        <f>B25+1</f>
        <v>45568</v>
      </c>
      <c r="C30" s="86">
        <f>WEEKDAY(B30,1)</f>
        <v>5</v>
      </c>
      <c r="D30" s="71">
        <v>0.33333333333333331</v>
      </c>
      <c r="E30" s="71">
        <v>0.70833333333333337</v>
      </c>
      <c r="G30" s="89" t="str" cm="1">
        <f t="array" ref="G30">_xlfn.IFS($D31="Fri","-",$D31="Sygdom","-",$D31&lt;&gt;"Fri",IF(AND(E30&gt;0,D30&gt;0),MOD((HOUR(E30)-HOUR(D30))+(MINUTE(E30)-MINUTE(D30))/60,24),0/24))</f>
        <v>-</v>
      </c>
      <c r="H30" s="90" t="str" cm="1">
        <f t="array" aca="1" ref="H30" ca="1">IF($T$4=Datasheet!$B$49,(IF(G30=0,0,(IF(AND(G30&gt;0,G30&lt;=4),4,(IF(AND(G30&gt;=4,G30&lt;=8,G30&lt;&gt;0),G30,8)))))),_xlfn.IFS($D31="Fri","-",$D31="Sygdom","4",$D31="Optagelse",(IF(G30&gt;0,8,0)),$D31="Forbered/afrig tid",(IF(G30=0,0,(IF(AND(G30&gt;0,G30&lt;=4),4,(IF(AND(G30&gt;=4,G30&lt;=8,G30&lt;&gt;0),G30,8)))))),$D31="Rejsetid",(IF(AND(G30&gt;0,G30&lt;=4),4,(IF(G30&gt;=4,G30,0)))),$D31="Rejsetid +50%",(IF(AND(G30&gt;0,G30&lt;=4),4,(IF(G30&gt;=4,G30,0))))))</f>
        <v>-</v>
      </c>
      <c r="I30" s="91" t="str">
        <f>IF(OR(D31="Optagelse",D31="Forbered/afrig tid"),IF(G30&gt;8,(G30-H30-J30-K30-L30),0),"-")</f>
        <v>-</v>
      </c>
      <c r="J30" s="91" t="str">
        <f>IF(OR($D31="Optagelse",$D31="Forbered/afrig tid"),IF(G30&gt;10,(G30-H30-K30-L30)-2,0),"-")</f>
        <v>-</v>
      </c>
      <c r="K30" s="91" t="str">
        <f>IF(OR($D31="Optagelse",$D31="Forbered/afrig tid"),IF(G30&gt;12,(G30-H30-L30)-4,0),"-")</f>
        <v>-</v>
      </c>
      <c r="L30" s="91" t="str">
        <f>IF(OR(D31="Optagelse",$D31="Forbered/afrig tid"),IF(G30&gt;13,(G30-H30)-5,0),"-")</f>
        <v>-</v>
      </c>
      <c r="M30" s="108">
        <v>0.75</v>
      </c>
      <c r="N30" s="92">
        <v>0</v>
      </c>
      <c r="O30" s="92">
        <v>0</v>
      </c>
      <c r="P30" s="92">
        <v>2</v>
      </c>
      <c r="Q30" s="93" t="s">
        <v>96</v>
      </c>
      <c r="R30" s="93" t="s">
        <v>96</v>
      </c>
      <c r="S30" s="93" t="s">
        <v>96</v>
      </c>
      <c r="T30" s="106" t="s">
        <v>101</v>
      </c>
      <c r="U30" s="122" t="s">
        <v>139</v>
      </c>
      <c r="W30" s="117"/>
      <c r="Y30" s="66"/>
    </row>
    <row r="31" spans="2:25" s="14" customFormat="1" ht="15" customHeight="1" x14ac:dyDescent="0.2">
      <c r="B31" s="28"/>
      <c r="C31" s="127" t="s">
        <v>132</v>
      </c>
      <c r="D31" s="130" t="s">
        <v>134</v>
      </c>
      <c r="E31" s="131"/>
      <c r="G31" s="94"/>
      <c r="H31" s="109" t="str">
        <f ca="1">IF($T$4=Datasheet!$B$49,"Timeløn",(IF(D31="Rejsetid +50%","Timeløn +50%",(IF(D31="Fri","-","Timeløn")))))</f>
        <v>-</v>
      </c>
      <c r="I31" s="110" t="str" cm="1">
        <f t="array" aca="1" ref="I31" ca="1">IF($T$4=Datasheet!$B$49,Datasheet!$C$65,(_xlfn.IFS($D31="Fri","-",$D31="Sygdom","-",$D31="Rejsetid","-",D31="Rejsetid +50%","-",D31="Forbered/afrig tid",Datasheet!$C$56,D31="Optagelse",Datasheet!$C$59)))</f>
        <v>-</v>
      </c>
      <c r="J31" s="110" t="str" cm="1">
        <f t="array" aca="1" ref="J31" ca="1">IF($T$4=Datasheet!$B$49,"Rate 1",_xlfn.IFS($D31="Fri","-",$D31="Sygdom","-",$D31="Rejsetid","-",D31="Rejsetid +50%","-",D31="Rejsetid","-",D31="Forbered/afrig tid",Datasheet!$D$56,D31="Optagelse",Datasheet!$D$59))</f>
        <v>-</v>
      </c>
      <c r="K31" s="110" t="str" cm="1">
        <f t="array" aca="1" ref="K31" ca="1">IF($T$4=Datasheet!$B$49,"Rate 1",_xlfn.IFS(D31="Fri","-",D31="Rejsetid","-",$D31="Sygdom","-",$D31="Rejsetid","-",D31="Rejsetid +50%","-",D31="Forbered/afrig tid",Datasheet!$E$56,D31="Optagelse",Datasheet!$E$59))</f>
        <v>-</v>
      </c>
      <c r="L31" s="110" t="str" cm="1">
        <f t="array" aca="1" ref="L31" ca="1">IF($T$4=Datasheet!$B$49,"Rate 2",_xlfn.IFS($D31="Fri","-",$D31="Sygdom","-",$D31="Rejsetid","-",D31="Rejsetid +50%","-",D31="Rejsetid","-",D31="Forbered/afrig tid",Datasheet!$E$56,D31="Optagelse",Datasheet!$F$59))</f>
        <v>-</v>
      </c>
      <c r="M31" s="111" cm="1">
        <f t="array" aca="1" ref="M31" ca="1">IF(AND($C32="Ja",OR($D31="optagelse",$D31="Forbered/afrig tid")),_xlfn.IFS($D31="optagelse",$G30+$P30,$D31="Forbered/afrig tid",$G30),_xlfn.IFS($D31="Fri",0,$D31="rejsetid",0,$D31="rejsetid +50%",0,$D31="sygdom",0,$C30=1,IF(AND($C30=1,$D31="optagelse"),$G30+$P30,G30),$C30=7,IF(AND($C30=7,$D31="optagelse"),$G30+$P30,$G30),$C30=2,IF(($D30*24)&lt;=6,ColTime($D30,6,Datasheet!$C$83,Datasheet!$C$84)*24,0),$C30=3,0,$C30=4,0,$C30=5,0,$C30=6,IF(($D30*24)&gt;6,ColTime($D30,$E30,Datasheet!$C$83,Datasheet!$C$84)*24,0)))</f>
        <v>0</v>
      </c>
      <c r="N31" s="112" t="str">
        <f ca="1">IF($T$4=Datasheet!$B$49,"-",IF($D31="Optagelse","Timetillæg","-"))</f>
        <v>-</v>
      </c>
      <c r="O31" s="112" t="str">
        <f ca="1">IF($T$4=Datasheet!$B$49,"-",IF($D31="Optagelse","Timetillæg","-"))</f>
        <v>-</v>
      </c>
      <c r="P31" s="110" t="str">
        <f ca="1">IF($T$4=Datasheet!$B$49,"-",IF($D31="Optagelse",Datasheet!$B$77,"-"))</f>
        <v>-</v>
      </c>
      <c r="Q31" s="113" t="str" cm="1">
        <f t="array" aca="1" ref="Q31" ca="1">(_xlfn.IFS($T$4=Datasheet!$B$49,"-",$D31="Fri","-",$D31="Forbered/afrig tid","-",$D31="Rejsetid","-",$D31="Rejsetid +50%","-",$D31="Sygdom","-",$D31="optagelse",(_xlfn.IFS(Q30="Planmæssigt","-",Q30="Forsinket","Diæt",Q30="Ingen servering","Diæt",Q30="Pause ikke afholdt","Diæt + 45min"))))</f>
        <v>-</v>
      </c>
      <c r="R31" s="113" t="str" cm="1">
        <f t="array" aca="1" ref="R31" ca="1">_xlfn.IFS($T$4=Datasheet!$B$49,"-",$D31="Fri","-",$D31="Forbered/afrig tid","-",$D31="Rejsetid","-",$D31="Rejsetid +50%","-",$D31="Sygdom","-",$D31="optagelse",(_xlfn.IFS(R30="Planmæssigt","-",R30="Forsinket","Diæt",R30="Ingen servering","Diæt",R30="Pause ikke afholdt","Diæt + 30min")))</f>
        <v>-</v>
      </c>
      <c r="S31" s="113" t="str" cm="1">
        <f t="array" aca="1" ref="S31" ca="1">_xlfn.IFS($T$4=Datasheet!$B$49,"-",$D31="Fri","-",$D31="Forbered/afrig tid","-",$D31="Rejsetid","-",$D31="Rejsetid +50%","-",$D31="Sygdom","-",$D31="optagelse",(_xlfn.IFS(S30="Planmæssigt","-",S30="Forsinket","Diæt",S30="Ingen servering","Diæt",S30="Pause ikke afholdt","Diæt + 15min")))</f>
        <v>-</v>
      </c>
      <c r="T31" s="105" t="str" cm="1">
        <f t="array" aca="1" ref="T31" ca="1">IF($T19=Datasheet!$B$49,"-",IF(D31="Optagelse",_xlfn.IFS(T30="Ingen rabat","-",T30="Rabat A",Datasheet!$B$96,T30="Rabat B",Datasheet!$B$97),"-"))</f>
        <v>-</v>
      </c>
      <c r="U31" s="95" t="str">
        <f>IF(U30="Ingen diæt","-",U30)</f>
        <v>-</v>
      </c>
      <c r="W31" s="117"/>
      <c r="Y31" s="66"/>
    </row>
    <row r="32" spans="2:25" s="14" customFormat="1" ht="15" customHeight="1" thickBot="1" x14ac:dyDescent="0.25">
      <c r="B32" s="80"/>
      <c r="C32" s="128" t="s">
        <v>133</v>
      </c>
      <c r="D32" s="132"/>
      <c r="E32" s="133"/>
      <c r="G32" s="101"/>
      <c r="H32" s="17" t="str" cm="1">
        <f t="array" aca="1" ref="H32" ca="1">IF($T$4=Datasheet!$B$49,grundløn/8,(_xlfn.IFS($D31="Fri","-",$D31="Optagelse",grundløn/8,$D31="rejsetid",grundløn/8,$D31="rejsetid +50%",(grundløn/8)*1.5,$D31="Forbered/afrig tid",grundløn/8,$D31="Sygdom",grundløn/8)))</f>
        <v>-</v>
      </c>
      <c r="I32" s="17" t="str" cm="1">
        <f t="array" aca="1" ref="I32" ca="1">IF($T$4=Datasheet!$B$49,Datasheet!$C$66,_xlfn.IFS($D31="Fri","-",$D31="Sygdom","-",$D31="Rejsetid","-",D31="Rejsetid +50%","-",$D31="Optagelse",grundløn/8*$I31+grundløn/8,$D31="rejsetid","-",$D31="Forbered/afrig tid",grundløn/8*$I31+grundløn/8))</f>
        <v>-</v>
      </c>
      <c r="J32" s="17" t="str" cm="1">
        <f t="array" aca="1" ref="J32" ca="1">IF($T$4=Datasheet!$B$49,Datasheet!$C$66,_xlfn.IFS($D31="Fri","-",$D31="Sygdom","-",$D31="Rejsetid","-",D31="Rejsetid +50%","-",$D31="Optagelse",grundløn/8*$J31+grundløn/8,$D31="rejsetid","-",$D31="Forbered/afrig tid",grundløn/8*$J31+grundløn/8))</f>
        <v>-</v>
      </c>
      <c r="K32" s="17" t="str" cm="1">
        <f t="array" aca="1" ref="K32" ca="1">IF($T$4=Datasheet!$B$49,Datasheet!$C$66,_xlfn.IFS($D31="Fri","-",$D31="Sygdom","-",$D31="Rejsetid","-",D31="Rejsetid +50%","-",$D31="Optagelse",grundløn/8*$K31+grundløn/8,$D31="rejsetid","-",$D31="Forbered/afrig tid",grundløn/8*$K31+grundløn/8))</f>
        <v>-</v>
      </c>
      <c r="L32" s="17" t="str" cm="1">
        <f t="array" aca="1" ref="L32" ca="1">IF($T$4=Datasheet!$B$49,Datasheet!$D$66,_xlfn.IFS($D31="Fri","-",$D31="Sygdom","-",$D31="Rejsetid","-",D31="Rejsetid +50%","-",$D31="Optagelse",grundløn/8*$L31+grundløn/8,$D31="rejsetid","-",$D31="Forbered/afrig tid",grundløn/8*$L31+grundløn/8))</f>
        <v>-</v>
      </c>
      <c r="M32" s="83" t="str">
        <f ca="1">IF(AND(M31&lt;&gt;0,M31&lt;&gt;"-"),H32*M30,"-")</f>
        <v>-</v>
      </c>
      <c r="N32" s="17" t="str">
        <f ca="1">IF($T$4=Datasheet!$B$49,"-",IF($D31="Optagelse",Datasheet!$B$82,"-"))</f>
        <v>-</v>
      </c>
      <c r="O32" s="17" t="str">
        <f ca="1">IF($T$4=Datasheet!$B$49,"-",IF($D31="Optagelse",Datasheet!$B$83,"-"))</f>
        <v>-</v>
      </c>
      <c r="P32" s="16" t="str">
        <f ca="1">IF($T$4=Datasheet!$B$49,"-",IF(D31="Optagelse",((grundløn/8)*P31+grundløn/8),"-"))</f>
        <v>-</v>
      </c>
      <c r="Q32" s="16" t="str" cm="1">
        <f t="array" aca="1" ref="Q32" ca="1">_xlfn.IFS($T$4=Datasheet!$B$49,"-",$D31="Fri","-",$D31="Forbered/afrig tid","-",$D31="Rejsetid","-",$D31="Rejsetid +50%","-",$D31="Sygdom","-",$D31="optagelse",_xlfn.IFS(Q30="Planmæssigt","-",Q30="Forsinket",Datasheet!$B$88,Q30="Ingen servering",Datasheet!$B$88,Q30="Pause ikke afholdt",Datasheet!$B$88))</f>
        <v>-</v>
      </c>
      <c r="R32" s="16" t="str" cm="1">
        <f t="array" aca="1" ref="R32" ca="1">_xlfn.IFS($T$4=Datasheet!$B$49,"-",$D31="Fri","-",$D31="Forbered/afrig tid","-",$D31="Rejsetid","-",$D31="Rejsetid +50%","-",$D31="Sygdom","-",$D31="optagelse",_xlfn.IFS(R30="Planmæssigt","-",R30="Forsinket",Datasheet!$B$88,R30="Ingen servering",Datasheet!$B$88,R30="Pause ikke afholdt",Datasheet!$B$88))</f>
        <v>-</v>
      </c>
      <c r="S32" s="16" t="str" cm="1">
        <f t="array" aca="1" ref="S32" ca="1">_xlfn.IFS($T$4=Datasheet!$B$49,"-",$D31="Fri","-",$D31="Forbered/afrig tid","-",$D31="Rejsetid","-",$D31="Rejsetid +50%","-",$D31="Sygdom","-",$D31="optagelse",_xlfn.IFS(S30="Planmæssigt","-",S30="Forsinket",Datasheet!$B$88,S30="Ingen servering",Datasheet!$B$88,S30="Pause ikke afholdt",Datasheet!$B$88))</f>
        <v>-</v>
      </c>
      <c r="T32" s="16" t="str" cm="1">
        <f t="array" aca="1" ref="T32" ca="1">IF($T19=Datasheet!$B$49,"-",(_xlfn.IFS($D31="Fri","-",$D31="rejsetid","-",$D31="Rejsetid +50%","-",$D31="Sygdom","-",$D31="Forbered/afrig tid","-",$D31="Optagelse",(IF(T30="Ingen rabat","-",(SUM(H33:S33)))))))</f>
        <v>-</v>
      </c>
      <c r="U32" s="96" t="str" cm="1">
        <f t="array" aca="1" ref="U32" ca="1">IF(OR($Q31&lt;&gt;"-",$R31&lt;&gt;"-",$S31&lt;&gt;"-",D31="Fri"),"-",_xlfn.IFS(U31="-","-",U31="Morgen",86.1,U31="Morgen+Frokost",258.3,U31="Frokost el. Aften",172.2,U31="Frokost+Aften", 344.4,U31="Fuld kost",420.5))</f>
        <v>-</v>
      </c>
      <c r="W32" s="118"/>
      <c r="X32" s="63"/>
      <c r="Y32" s="67">
        <f ca="1">SUM(Q32:S32)+SUM(U32)</f>
        <v>0</v>
      </c>
    </row>
    <row r="33" spans="2:25" s="14" customFormat="1" ht="15" customHeight="1" thickBot="1" x14ac:dyDescent="0.25">
      <c r="D33" s="85"/>
      <c r="G33" s="97"/>
      <c r="H33" s="98" t="str">
        <f>IF($D31="Fri","-",(IF(H30&gt;0,H32*H30,"-")))</f>
        <v>-</v>
      </c>
      <c r="I33" s="98" t="str">
        <f ca="1">IF(AND(I30&lt;&gt;"-",I32&lt;&gt;"-"),I32*I30,"-")</f>
        <v>-</v>
      </c>
      <c r="J33" s="98" t="str">
        <f t="shared" ref="J33:L33" ca="1" si="5">IF(AND(J30&lt;&gt;"-",J32&lt;&gt;"-"),J32*J30,"-")</f>
        <v>-</v>
      </c>
      <c r="K33" s="98" t="str">
        <f t="shared" ca="1" si="5"/>
        <v>-</v>
      </c>
      <c r="L33" s="98" t="str">
        <f t="shared" ca="1" si="5"/>
        <v>-</v>
      </c>
      <c r="M33" s="99" t="str">
        <f ca="1">IF(M32&lt;&gt;"-",M32*M31,"-")</f>
        <v>-</v>
      </c>
      <c r="N33" s="98" t="str">
        <f ca="1">IF(AND(N30&lt;&gt;"-",N32&lt;&gt;"-"),N32*N30,"-")</f>
        <v>-</v>
      </c>
      <c r="O33" s="98" t="str">
        <f ca="1">IF(AND(O30&lt;&gt;"-",O32&lt;&gt;"-"),O32*O30,"-")</f>
        <v>-</v>
      </c>
      <c r="P33" s="98" t="str">
        <f t="shared" ref="P33" ca="1" si="6">IF(AND(P30&lt;&gt;"-",P32&lt;&gt;"-"),P32*P30,"-")</f>
        <v>-</v>
      </c>
      <c r="Q33" s="100" t="str" cm="1">
        <f t="array" aca="1" ref="Q33" ca="1">_xlfn.IFS($T$4=Datasheet!$B$49,"-",$D31="Fri","-",$D31="Forbered/afrig tid","-",$D31="Rejsetid","-",$D31="Rejsetid +50%","-",$D31="Sygdom","-",$D31="optagelse",_xlfn.IFS(Q30="Planmæssigt","-",Q30="Forsinket","-",Q30="Ingen servering","-",Q30="Pause ikke afholdt",($I32*0.75)))</f>
        <v>-</v>
      </c>
      <c r="R33" s="100" t="str" cm="1">
        <f t="array" aca="1" ref="R33" ca="1">_xlfn.IFS($T$4=Datasheet!$B$49,"-",$D31="Fri","-",$D31="Forbered/afrig tid","-",$D31="Rejsetid","-",$D31="Rejsetid +50%","-",$D31="Sygdom","-",$D31="optagelse",_xlfn.IFS(R30="Planmæssigt","-",R30="Forsinket","-",R30="Ingen servering","-",R30="Pause ikke afholdt",($J32*0.5)))</f>
        <v>-</v>
      </c>
      <c r="S33" s="62" t="str" cm="1">
        <f t="array" aca="1" ref="S33" ca="1">_xlfn.IFS($T$4=Datasheet!$B$49,"-",$D31="Fri","-",$D31="Forbered/afrig tid","-",$D31="Rejsetid","-",$D31="Rejsetid +50%","-",$D31="Sygdom","-",$D31="optagelse",_xlfn.IFS(S30="Planmæssigt","-",S30="Forsinket","-",S30="Ingen servering","-",S30="Pause ikke afholdt",(K32*0.25)))</f>
        <v>-</v>
      </c>
      <c r="T33" s="107" t="str" cm="1">
        <f t="array" aca="1" ref="T33" ca="1">_xlfn.IFS($D31="Fri","-",$D31="rejsetid","-",$D31="Rejsetid +50%","-",$D31="Sygdom","-",$D31="Optagelse",(_xlfn.IFS(T32="-","-",T32=0,"-",T32&lt;&gt;0,T32*T31)),$D31="Forbered/afrig tid","-")</f>
        <v>-</v>
      </c>
      <c r="U33" s="104" t="s">
        <v>140</v>
      </c>
      <c r="W33" s="119" cm="1">
        <f t="array" aca="1" ref="W33" ca="1">_xlfn.IFS($D31="Fri",0,$D31="optagelse",(_xlfn.IFS(SUM(H33:T33)=0,0,SUM(H33:T33)&gt;grundløn,SUM(H33:T33),SUM(H33:T33)&lt;=grundløn,grundløn)),$D31="Forbered/afrig tid",(IF(SUM(H33:T33)=0,0,SUM(H33:T33))),$D31="rejsetid",(IF(SUM(H33:T33)=0,0,SUM(H33:T33))),$D31="rejsetid +50%",(IF(SUM(H33:T33)=0,0,SUM(H33:T33))),$D31="sygdom",(IF(SUM(H33:T33)=0,0,SUM(H33:T33))))</f>
        <v>0</v>
      </c>
      <c r="X33" s="64"/>
      <c r="Y33" s="66"/>
    </row>
    <row r="34" spans="2:25" ht="15" thickBot="1" x14ac:dyDescent="0.25">
      <c r="W34" s="120"/>
      <c r="Y34" s="68"/>
    </row>
    <row r="35" spans="2:25" s="14" customFormat="1" ht="30" customHeight="1" thickBot="1" x14ac:dyDescent="0.25">
      <c r="B35" s="27">
        <f>B30+1</f>
        <v>45569</v>
      </c>
      <c r="C35" s="86">
        <f>WEEKDAY(B35,1)</f>
        <v>6</v>
      </c>
      <c r="D35" s="71">
        <v>0.33333333333333331</v>
      </c>
      <c r="E35" s="71">
        <v>0.66666666666666663</v>
      </c>
      <c r="G35" s="89" t="str" cm="1">
        <f t="array" ref="G35">_xlfn.IFS($D36="Fri","-",$D36="Sygdom","-",$D36&lt;&gt;"Fri",IF(AND(E35&gt;0,D35&gt;0),MOD((HOUR(E35)-HOUR(D35))+(MINUTE(E35)-MINUTE(D35))/60,24),0/24))</f>
        <v>-</v>
      </c>
      <c r="H35" s="90" t="str" cm="1">
        <f t="array" aca="1" ref="H35" ca="1">IF($T$4=Datasheet!$B$49,(IF(G35=0,0,(IF(AND(G35&gt;0,G35&lt;=4),4,(IF(AND(G35&gt;=4,G35&lt;=8,G35&lt;&gt;0),G35,8)))))),_xlfn.IFS($D36="Fri","-",$D36="Sygdom","4",$D36="Optagelse",(IF(G35&gt;0,8,0)),$D36="Forbered/afrig tid",(IF(G35=0,0,(IF(AND(G35&gt;0,G35&lt;=4),4,(IF(AND(G35&gt;=4,G35&lt;=8,G35&lt;&gt;0),G35,8)))))),$D36="Rejsetid",(IF(AND(G35&gt;0,G35&lt;=4),4,(IF(G35&gt;=4,G35,0)))),$D36="Rejsetid +50%",(IF(AND(G35&gt;0,G35&lt;=4),4,(IF(G35&gt;=4,G35,0))))))</f>
        <v>-</v>
      </c>
      <c r="I35" s="91" t="str">
        <f>IF(OR(D36="Optagelse",D36="Forbered/afrig tid"),IF(G35&gt;8,(G35-H35-J35-K35-L35),0),"-")</f>
        <v>-</v>
      </c>
      <c r="J35" s="91" t="str">
        <f>IF(OR($D36="Optagelse",$D36="Forbered/afrig tid"),IF(G35&gt;10,(G35-H35-K35-L35)-2,0),"-")</f>
        <v>-</v>
      </c>
      <c r="K35" s="91" t="str">
        <f>IF(OR($D36="Optagelse",$D36="Forbered/afrig tid"),IF(G35&gt;12,(G35-H35-L35)-4,0),"-")</f>
        <v>-</v>
      </c>
      <c r="L35" s="91" t="str">
        <f>IF(OR(D36="Optagelse",$D36="Forbered/afrig tid"),IF(G35&gt;13,(G35-H35)-5,0),"-")</f>
        <v>-</v>
      </c>
      <c r="M35" s="108">
        <v>0.75</v>
      </c>
      <c r="N35" s="92">
        <v>0</v>
      </c>
      <c r="O35" s="92">
        <v>0</v>
      </c>
      <c r="P35" s="92">
        <v>0</v>
      </c>
      <c r="Q35" s="93" t="s">
        <v>96</v>
      </c>
      <c r="R35" s="93" t="s">
        <v>96</v>
      </c>
      <c r="S35" s="93" t="s">
        <v>96</v>
      </c>
      <c r="T35" s="106" t="s">
        <v>101</v>
      </c>
      <c r="U35" s="122" t="s">
        <v>139</v>
      </c>
      <c r="W35" s="117"/>
      <c r="Y35" s="66"/>
    </row>
    <row r="36" spans="2:25" s="14" customFormat="1" ht="15" customHeight="1" x14ac:dyDescent="0.2">
      <c r="B36" s="28"/>
      <c r="C36" s="127" t="s">
        <v>132</v>
      </c>
      <c r="D36" s="130" t="s">
        <v>134</v>
      </c>
      <c r="E36" s="131"/>
      <c r="G36" s="94"/>
      <c r="H36" s="109" t="str">
        <f ca="1">IF($T$4=Datasheet!$B$49,"Timeløn",(IF(D36="Rejsetid +50%","Timeløn +50%",(IF(D36="Fri","-","Timeløn")))))</f>
        <v>-</v>
      </c>
      <c r="I36" s="110" t="str" cm="1">
        <f t="array" aca="1" ref="I36" ca="1">IF($T$4=Datasheet!$B$49,Datasheet!$C$65,(_xlfn.IFS($D36="Fri","-",$D36="Sygdom","-",$D36="Rejsetid","-",D36="Rejsetid +50%","-",D36="Forbered/afrig tid",Datasheet!$C$56,D36="Optagelse",Datasheet!$C$59)))</f>
        <v>-</v>
      </c>
      <c r="J36" s="110" t="str" cm="1">
        <f t="array" aca="1" ref="J36" ca="1">IF($T$4=Datasheet!$B$49,"Rate 1",_xlfn.IFS($D36="Fri","-",$D36="Sygdom","-",$D36="Rejsetid","-",D36="Rejsetid +50%","-",D36="Rejsetid","-",D36="Forbered/afrig tid",Datasheet!$D$56,D36="Optagelse",Datasheet!$D$59))</f>
        <v>-</v>
      </c>
      <c r="K36" s="110" t="str" cm="1">
        <f t="array" aca="1" ref="K36" ca="1">IF($T$4=Datasheet!$B$49,"Rate 1",_xlfn.IFS(D36="Fri","-",D36="Rejsetid","-",$D36="Sygdom","-",$D36="Rejsetid","-",D36="Rejsetid +50%","-",D36="Forbered/afrig tid",Datasheet!$E$56,D36="Optagelse",Datasheet!$E$59))</f>
        <v>-</v>
      </c>
      <c r="L36" s="110" t="str" cm="1">
        <f t="array" aca="1" ref="L36" ca="1">IF($T$4=Datasheet!$B$49,"Rate 2",_xlfn.IFS($D36="Fri","-",$D36="Sygdom","-",$D36="Rejsetid","-",D36="Rejsetid +50%","-",D36="Rejsetid","-",D36="Forbered/afrig tid",Datasheet!$E$56,D36="Optagelse",Datasheet!$F$59))</f>
        <v>-</v>
      </c>
      <c r="M36" s="111" cm="1">
        <f t="array" ref="M36">IF(AND($C37="Ja",OR($D36="optagelse",$D36="Forbered/afrig tid")),_xlfn.IFS($D36="optagelse",$G35+$P35,$D36="Forbered/afrig tid",$G35),_xlfn.IFS($D36="Fri",0,$D36="rejsetid",0,$D36="rejsetid +50%",0,$D36="sygdom",0,$C35=1,IF(AND($C35=1,$D36="optagelse"),$G35+$P35,G35),$C35=7,IF(AND($C35=7,$D36="optagelse"),$G35+$P35,$G35),$C35=2,0,$C35=3,0,$C35=4,0,$C35=5,0,$C35=6,0))</f>
        <v>0</v>
      </c>
      <c r="N36" s="112" t="str">
        <f ca="1">IF($T$4=Datasheet!$B$49,"-",IF($D36="Optagelse","Timetillæg","-"))</f>
        <v>-</v>
      </c>
      <c r="O36" s="112" t="str">
        <f ca="1">IF($T$4=Datasheet!$B$49,"-",IF($D36="Optagelse","Timetillæg","-"))</f>
        <v>-</v>
      </c>
      <c r="P36" s="110" t="str">
        <f ca="1">IF($T$4=Datasheet!$B$49,"-",IF($D36="Optagelse",Datasheet!$B$77,"-"))</f>
        <v>-</v>
      </c>
      <c r="Q36" s="113" t="str" cm="1">
        <f t="array" aca="1" ref="Q36" ca="1">(_xlfn.IFS($T$4=Datasheet!$B$49,"-",$D36="Fri","-",$D36="Forbered/afrig tid","-",$D36="Rejsetid","-",$D36="Rejsetid +50%","-",$D36="Sygdom","-",$D36="optagelse",(_xlfn.IFS(Q35="Planmæssigt","-",Q35="Forsinket","Diæt",Q35="Ingen servering","Diæt",Q35="Pause ikke afholdt","Diæt + 45min"))))</f>
        <v>-</v>
      </c>
      <c r="R36" s="113" t="str" cm="1">
        <f t="array" aca="1" ref="R36" ca="1">_xlfn.IFS($T$4=Datasheet!$B$49,"-",$D36="Fri","-",$D36="Forbered/afrig tid","-",$D36="Rejsetid","-",$D36="Rejsetid +50%","-",$D36="Sygdom","-",$D36="optagelse",(_xlfn.IFS(R35="Planmæssigt","-",R35="Forsinket","Diæt",R35="Ingen servering","Diæt",R35="Pause ikke afholdt","Diæt + 30min")))</f>
        <v>-</v>
      </c>
      <c r="S36" s="113" t="str" cm="1">
        <f t="array" aca="1" ref="S36" ca="1">_xlfn.IFS($T$4=Datasheet!$B$49,"-",$D36="Fri","-",$D36="Forbered/afrig tid","-",$D36="Rejsetid","-",$D36="Rejsetid +50%","-",$D36="Sygdom","-",$D36="optagelse",(_xlfn.IFS(S35="Planmæssigt","-",S35="Forsinket","Diæt",S35="Ingen servering","Diæt",S35="Pause ikke afholdt","Diæt + 15min")))</f>
        <v>-</v>
      </c>
      <c r="T36" s="105" t="str" cm="1">
        <f t="array" aca="1" ref="T36" ca="1">IF($T24=Datasheet!$B$49,"-",IF(D36="Optagelse",_xlfn.IFS(T35="Ingen rabat","-",T35="Rabat A",Datasheet!$B$96,T35="Rabat B",Datasheet!$B$97),"-"))</f>
        <v>-</v>
      </c>
      <c r="U36" s="95" t="str">
        <f>IF(U35="Ingen diæt","-",U35)</f>
        <v>-</v>
      </c>
      <c r="W36" s="117"/>
      <c r="Y36" s="66"/>
    </row>
    <row r="37" spans="2:25" s="14" customFormat="1" ht="15" customHeight="1" thickBot="1" x14ac:dyDescent="0.25">
      <c r="B37" s="80"/>
      <c r="C37" s="128" t="s">
        <v>133</v>
      </c>
      <c r="D37" s="132"/>
      <c r="E37" s="133"/>
      <c r="G37" s="101"/>
      <c r="H37" s="17" t="str" cm="1">
        <f t="array" aca="1" ref="H37" ca="1">IF($T$4=Datasheet!$B$49,grundløn/8,(_xlfn.IFS($D36="Fri","-",$D36="Optagelse",grundløn/8,$D36="rejsetid",grundløn/8,$D36="rejsetid +50%",(grundløn/8)*1.5,$D36="Forbered/afrig tid",grundløn/8,$D36="Sygdom",grundløn/8)))</f>
        <v>-</v>
      </c>
      <c r="I37" s="17" t="str" cm="1">
        <f t="array" aca="1" ref="I37" ca="1">IF($T$4=Datasheet!$B$49,Datasheet!$C$66,_xlfn.IFS($D36="Fri","-",$D36="Sygdom","-",$D36="Rejsetid","-",D36="Rejsetid +50%","-",$D36="Optagelse",grundløn/8*$I36+grundløn/8,$D36="rejsetid","-",$D36="Forbered/afrig tid",grundløn/8*$I36+grundløn/8))</f>
        <v>-</v>
      </c>
      <c r="J37" s="17" t="str" cm="1">
        <f t="array" aca="1" ref="J37" ca="1">IF($T$4=Datasheet!$B$49,Datasheet!$C$66,_xlfn.IFS($D36="Fri","-",$D36="Sygdom","-",$D36="Rejsetid","-",D36="Rejsetid +50%","-",$D36="Optagelse",grundløn/8*$J36+grundløn/8,$D36="rejsetid","-",$D36="Forbered/afrig tid",grundløn/8*$J36+grundløn/8))</f>
        <v>-</v>
      </c>
      <c r="K37" s="17" t="str" cm="1">
        <f t="array" aca="1" ref="K37" ca="1">IF($T$4=Datasheet!$B$49,Datasheet!$C$66,_xlfn.IFS($D36="Fri","-",$D36="Sygdom","-",$D36="Rejsetid","-",D36="Rejsetid +50%","-",$D36="Optagelse",grundløn/8*$K36+grundløn/8,$D36="rejsetid","-",$D36="Forbered/afrig tid",grundløn/8*$K36+grundløn/8))</f>
        <v>-</v>
      </c>
      <c r="L37" s="17" t="str" cm="1">
        <f t="array" aca="1" ref="L37" ca="1">IF($T$4=Datasheet!$B$49,Datasheet!$D$66,_xlfn.IFS($D36="Fri","-",$D36="Sygdom","-",$D36="Rejsetid","-",D36="Rejsetid +50%","-",$D36="Optagelse",grundløn/8*$L36+grundløn/8,$D36="rejsetid","-",$D36="Forbered/afrig tid",grundløn/8*$L36+grundløn/8))</f>
        <v>-</v>
      </c>
      <c r="M37" s="83" t="str">
        <f>IF(AND(M36&lt;&gt;0,M36&lt;&gt;"-"),H37*M35,"-")</f>
        <v>-</v>
      </c>
      <c r="N37" s="17" t="str">
        <f ca="1">IF($T$4=Datasheet!$B$49,"-",IF($D36="Optagelse",Datasheet!$B$82,"-"))</f>
        <v>-</v>
      </c>
      <c r="O37" s="17" t="str">
        <f ca="1">IF($T$4=Datasheet!$B$49,"-",IF($D36="Optagelse",Datasheet!$B$83,"-"))</f>
        <v>-</v>
      </c>
      <c r="P37" s="16" t="str">
        <f ca="1">IF($T$4=Datasheet!$B$49,"-",IF(D36="Optagelse",((grundløn/8)*P36+grundløn/8),"-"))</f>
        <v>-</v>
      </c>
      <c r="Q37" s="16" t="str" cm="1">
        <f t="array" aca="1" ref="Q37" ca="1">_xlfn.IFS($T$4=Datasheet!$B$49,"-",$D36="Fri","-",$D36="Forbered/afrig tid","-",$D36="Rejsetid","-",$D36="Rejsetid +50%","-",$D36="Sygdom","-",$D36="optagelse",_xlfn.IFS(Q35="Planmæssigt","-",Q35="Forsinket",Datasheet!$B$88,Q35="Ingen servering",Datasheet!$B$88,Q35="Pause ikke afholdt",Datasheet!$B$88))</f>
        <v>-</v>
      </c>
      <c r="R37" s="16" t="str" cm="1">
        <f t="array" aca="1" ref="R37" ca="1">_xlfn.IFS($T$4=Datasheet!$B$49,"-",$D36="Fri","-",$D36="Forbered/afrig tid","-",$D36="Rejsetid","-",$D36="Rejsetid +50%","-",$D36="Sygdom","-",$D36="optagelse",_xlfn.IFS(R35="Planmæssigt","-",R35="Forsinket",Datasheet!$B$88,R35="Ingen servering",Datasheet!$B$88,R35="Pause ikke afholdt",Datasheet!$B$88))</f>
        <v>-</v>
      </c>
      <c r="S37" s="16" t="str" cm="1">
        <f t="array" aca="1" ref="S37" ca="1">_xlfn.IFS($T$4=Datasheet!$B$49,"-",$D36="Fri","-",$D36="Forbered/afrig tid","-",$D36="Rejsetid","-",$D36="Rejsetid +50%","-",$D36="Sygdom","-",$D36="optagelse",_xlfn.IFS(S35="Planmæssigt","-",S35="Forsinket",Datasheet!$B$88,S35="Ingen servering",Datasheet!$B$88,S35="Pause ikke afholdt",Datasheet!$B$88))</f>
        <v>-</v>
      </c>
      <c r="T37" s="16" t="str" cm="1">
        <f t="array" aca="1" ref="T37" ca="1">IF($T24=Datasheet!$B$49,"-",(_xlfn.IFS($D36="Fri","-",$D36="rejsetid","-",$D36="Rejsetid +50%","-",$D36="Sygdom","-",$D36="Forbered/afrig tid","-",$D36="Optagelse",(IF(T35="Ingen rabat","-",(SUM(H38:S38)))))))</f>
        <v>-</v>
      </c>
      <c r="U37" s="96" t="str" cm="1">
        <f t="array" aca="1" ref="U37" ca="1">IF(OR(Q36&lt;&gt;"-",R36&lt;&gt;"-",S36&lt;&gt;"-",D36="Fri"),"-",_xlfn.IFS(U36="-","-",U36="Morgen",86.1,U36="Morgen+Frokost",258.3,U36="Frokost el. Aften",172.2,U36="Frokost+Aften", 344.4,U36="Fuld kost",420.5))</f>
        <v>-</v>
      </c>
      <c r="W37" s="118"/>
      <c r="X37" s="63"/>
      <c r="Y37" s="67">
        <f ca="1">SUM(Q37:S37)+SUM(U37)</f>
        <v>0</v>
      </c>
    </row>
    <row r="38" spans="2:25" s="14" customFormat="1" ht="15" customHeight="1" thickBot="1" x14ac:dyDescent="0.25">
      <c r="D38" s="85"/>
      <c r="G38" s="97"/>
      <c r="H38" s="98" t="str">
        <f>IF($D36="Fri","-",(IF(H35&gt;0,H37*H35,"-")))</f>
        <v>-</v>
      </c>
      <c r="I38" s="98" t="str">
        <f ca="1">IF(AND(I35&lt;&gt;"-",I37&lt;&gt;"-"),I37*I35,"-")</f>
        <v>-</v>
      </c>
      <c r="J38" s="98" t="str">
        <f t="shared" ref="J38:L38" ca="1" si="7">IF(AND(J35&lt;&gt;"-",J37&lt;&gt;"-"),J37*J35,"-")</f>
        <v>-</v>
      </c>
      <c r="K38" s="98" t="str">
        <f t="shared" ca="1" si="7"/>
        <v>-</v>
      </c>
      <c r="L38" s="98" t="str">
        <f t="shared" ca="1" si="7"/>
        <v>-</v>
      </c>
      <c r="M38" s="99" t="str">
        <f>IF(M37&lt;&gt;"-",M37*M36,"-")</f>
        <v>-</v>
      </c>
      <c r="N38" s="98" t="str">
        <f ca="1">IF(AND(N35&lt;&gt;"-",N37&lt;&gt;"-"),N37*N35,"-")</f>
        <v>-</v>
      </c>
      <c r="O38" s="98" t="str">
        <f ca="1">IF(AND(O35&lt;&gt;"-",O37&lt;&gt;"-"),O37*O35,"-")</f>
        <v>-</v>
      </c>
      <c r="P38" s="98" t="str">
        <f t="shared" ref="P38" ca="1" si="8">IF(AND(P35&lt;&gt;"-",P37&lt;&gt;"-"),P37*P35,"-")</f>
        <v>-</v>
      </c>
      <c r="Q38" s="100" t="str" cm="1">
        <f t="array" aca="1" ref="Q38" ca="1">_xlfn.IFS($T$4=Datasheet!$B$49,"-",$D36="Fri","-",$D36="Forbered/afrig tid","-",$D36="Rejsetid","-",$D36="Rejsetid +50%","-",$D36="Sygdom","-",$D36="optagelse",_xlfn.IFS(Q35="Planmæssigt","-",Q35="Forsinket","-",Q35="Ingen servering","-",Q35="Pause ikke afholdt",($I37*0.75)))</f>
        <v>-</v>
      </c>
      <c r="R38" s="100" t="str" cm="1">
        <f t="array" aca="1" ref="R38" ca="1">_xlfn.IFS($T$4=Datasheet!$B$49,"-",$D36="Fri","-",$D36="Forbered/afrig tid","-",$D36="Rejsetid","-",$D36="Rejsetid +50%","-",$D36="Sygdom","-",$D36="optagelse",_xlfn.IFS(R35="Planmæssigt","-",R35="Forsinket","-",R35="Ingen servering","-",R35="Pause ikke afholdt",($J37*0.5)))</f>
        <v>-</v>
      </c>
      <c r="S38" s="62" t="str" cm="1">
        <f t="array" aca="1" ref="S38" ca="1">_xlfn.IFS($T$4=Datasheet!$B$49,"-",$D36="Fri","-",$D36="Forbered/afrig tid","-",$D36="Rejsetid","-",$D36="Rejsetid +50%","-",$D36="Sygdom","-",$D36="optagelse",_xlfn.IFS(S35="Planmæssigt","-",S35="Forsinket","-",S35="Ingen servering","-",S35="Pause ikke afholdt",(K37*0.25)))</f>
        <v>-</v>
      </c>
      <c r="T38" s="107" t="str" cm="1">
        <f t="array" aca="1" ref="T38" ca="1">_xlfn.IFS($D36="Fri","-",$D36="rejsetid","-",$D36="Rejsetid +50%","-",$D36="Sygdom","-",$D36="Optagelse",(_xlfn.IFS(T37="-","-",T37=0,"-",T37&lt;&gt;0,T37*T36)),$D36="Forbered/afrig tid","-")</f>
        <v>-</v>
      </c>
      <c r="U38" s="104" t="s">
        <v>140</v>
      </c>
      <c r="W38" s="119" cm="1">
        <f t="array" aca="1" ref="W38" ca="1">_xlfn.IFS($D36="Fri",0,$D36="optagelse",(_xlfn.IFS(SUM(H38:T38)=0,0,SUM(H38:T38)&gt;grundløn,SUM(H38:T38),SUM(H38:T38)&lt;=grundløn,grundløn)),$D36="Forbered/afrig tid",(IF(SUM(H38:T38)=0,0,SUM(H38:T38))),$D36="rejsetid",(IF(SUM(H38:T38)=0,0,SUM(H38:T38))),$D36="rejsetid +50%",(IF(SUM(H38:T38)=0,0,SUM(H38:T38))),$D36="sygdom",(IF(SUM(H38:T38)=0,0,SUM(H38:T38))))</f>
        <v>0</v>
      </c>
      <c r="X38" s="64"/>
      <c r="Y38" s="66"/>
    </row>
    <row r="39" spans="2:25" ht="15" thickBot="1" x14ac:dyDescent="0.25">
      <c r="W39" s="120"/>
      <c r="Y39" s="68"/>
    </row>
    <row r="40" spans="2:25" s="14" customFormat="1" ht="30" customHeight="1" thickBot="1" x14ac:dyDescent="0.25">
      <c r="B40" s="27">
        <f>B35+1</f>
        <v>45570</v>
      </c>
      <c r="C40" s="86">
        <f>WEEKDAY(B40,1)</f>
        <v>7</v>
      </c>
      <c r="D40" s="71">
        <v>0.33333333333333331</v>
      </c>
      <c r="E40" s="71">
        <v>0.66666666666666663</v>
      </c>
      <c r="G40" s="89" t="str" cm="1">
        <f t="array" ref="G40">_xlfn.IFS($D41="Fri","-",$D41="Sygdom","-",$D41&lt;&gt;"Fri",IF(AND(E40&gt;0,D40&gt;0),MOD((HOUR(E40)-HOUR(D40))+(MINUTE(E40)-MINUTE(D40))/60,24),0/24))</f>
        <v>-</v>
      </c>
      <c r="H40" s="90" t="str" cm="1">
        <f t="array" aca="1" ref="H40" ca="1">IF($T$4=Datasheet!$B$49,(IF(G40=0,0,(IF(AND(G40&gt;0,G40&lt;=4),4,(IF(AND(G40&gt;=4,G40&lt;=8,G40&lt;&gt;0),G40,8)))))),_xlfn.IFS($D41="Fri","-",$D41="Sygdom","4",$D41="Optagelse",(IF(G40&gt;0,8,0)),$D41="Forbered/afrig tid",(IF(G40=0,0,(IF(AND(G40&gt;0,G40&lt;=4),4,(IF(AND(G40&gt;=4,G40&lt;=8,G40&lt;&gt;0),G40,8)))))),$D41="Rejsetid",(IF(AND(G40&gt;0,G40&lt;=4),4,(IF(G40&gt;=4,G40,0)))),$D41="Rejsetid +50%",(IF(AND(G40&gt;0,G40&lt;=4),4,(IF(G40&gt;=4,G40,0))))))</f>
        <v>-</v>
      </c>
      <c r="I40" s="91" t="str">
        <f>IF(OR(D41="Optagelse",D41="Forbered/afrig tid"),IF(G40&gt;8,(G40-H40-J40-K40-L40),0),"-")</f>
        <v>-</v>
      </c>
      <c r="J40" s="91" t="str">
        <f>IF(OR($D41="Optagelse",$D41="Forbered/afrig tid"),IF(G40&gt;10,(G40-H40-K40-L40)-2,0),"-")</f>
        <v>-</v>
      </c>
      <c r="K40" s="91" t="str">
        <f>IF(OR($D41="Optagelse",$D41="Forbered/afrig tid"),IF(G40&gt;12,(G40-H40-L40)-4,0),"-")</f>
        <v>-</v>
      </c>
      <c r="L40" s="91" t="str">
        <f>IF(OR(D41="Optagelse",$D41="Forbered/afrig tid"),IF(G40&gt;13,(G40-H40)-5,0),"-")</f>
        <v>-</v>
      </c>
      <c r="M40" s="108">
        <v>0.75</v>
      </c>
      <c r="N40" s="92">
        <v>0</v>
      </c>
      <c r="O40" s="92">
        <v>0</v>
      </c>
      <c r="P40" s="92">
        <v>2</v>
      </c>
      <c r="Q40" s="93" t="s">
        <v>96</v>
      </c>
      <c r="R40" s="93" t="s">
        <v>96</v>
      </c>
      <c r="S40" s="93" t="s">
        <v>96</v>
      </c>
      <c r="T40" s="106" t="s">
        <v>101</v>
      </c>
      <c r="U40" s="122" t="s">
        <v>139</v>
      </c>
      <c r="W40" s="117"/>
      <c r="Y40" s="66"/>
    </row>
    <row r="41" spans="2:25" s="14" customFormat="1" ht="15" customHeight="1" x14ac:dyDescent="0.2">
      <c r="B41" s="28"/>
      <c r="C41" s="127" t="s">
        <v>132</v>
      </c>
      <c r="D41" s="130" t="s">
        <v>134</v>
      </c>
      <c r="E41" s="131"/>
      <c r="G41" s="94"/>
      <c r="H41" s="109" t="str">
        <f ca="1">IF($T$4=Datasheet!$B$49,"Timeløn",(IF(D41="Rejsetid +50%","Timeløn +50%",(IF(D41="Fri","-","Timeløn")))))</f>
        <v>-</v>
      </c>
      <c r="I41" s="110" t="str" cm="1">
        <f t="array" aca="1" ref="I41" ca="1">IF($T$4=Datasheet!$B$49,Datasheet!$C$65,(_xlfn.IFS($D41="Fri","-",$D41="Sygdom","-",$D41="Rejsetid","-",D41="Rejsetid +50%","-",D41="Forbered/afrig tid",Datasheet!$C$56,D41="Optagelse",Datasheet!$C$59)))</f>
        <v>-</v>
      </c>
      <c r="J41" s="110" t="str" cm="1">
        <f t="array" aca="1" ref="J41" ca="1">IF($T$4=Datasheet!$B$49,"Rate 1",_xlfn.IFS($D41="Fri","-",$D41="Sygdom","-",$D41="Rejsetid","-",D41="Rejsetid +50%","-",D41="Rejsetid","-",D41="Forbered/afrig tid",Datasheet!$D$56,D41="Optagelse",Datasheet!$D$59))</f>
        <v>-</v>
      </c>
      <c r="K41" s="110" t="str" cm="1">
        <f t="array" aca="1" ref="K41" ca="1">IF($T$4=Datasheet!$B$49,"Rate 1",_xlfn.IFS(D41="Fri","-",D41="Rejsetid","-",$D41="Sygdom","-",$D41="Rejsetid","-",D41="Rejsetid +50%","-",D41="Forbered/afrig tid",Datasheet!$E$56,D41="Optagelse",Datasheet!$E$59))</f>
        <v>-</v>
      </c>
      <c r="L41" s="110" t="str" cm="1">
        <f t="array" aca="1" ref="L41" ca="1">IF($T$4=Datasheet!$B$49,"Rate 2",_xlfn.IFS($D41="Fri","-",$D41="Sygdom","-",$D41="Rejsetid","-",D41="Rejsetid +50%","-",D41="Rejsetid","-",D41="Forbered/afrig tid",Datasheet!$E$56,D41="Optagelse",Datasheet!$F$59))</f>
        <v>-</v>
      </c>
      <c r="M41" s="111" cm="1">
        <f t="array" aca="1" ref="M41" ca="1">IF(AND($C42="Ja",OR($D41="optagelse",$D41="Forbered/afrig tid")),_xlfn.IFS($D41="optagelse",$G40+$P40,$D41="Forbered/afrig tid",$G40),_xlfn.IFS($D41="Fri",0,$D41="rejsetid",0,$D41="rejsetid +50%",0,$D41="sygdom",0,$C40=1,IF(AND($C40=1,$D41="optagelse"),$G40+$P40,G40),$C40=7,IF(AND($C40=7,$D41="optagelse"),$G40+$P40,$G40),$C40=2,IF(($D40*24)&lt;=6,ColTime($D40,6,Datasheet!$C$83,Datasheet!$C$84)*24,0),$C40=3,0,$C40=4,0,$C40=5,0,$C40=6,IF(($D40*24)&gt;6,ColTime($D40,$E40,Datasheet!$C$83,Datasheet!$C$84)*24,0)))</f>
        <v>0</v>
      </c>
      <c r="N41" s="112" t="str">
        <f ca="1">IF($T$4=Datasheet!$B$49,"-",IF($D41="Optagelse","Timetillæg","-"))</f>
        <v>-</v>
      </c>
      <c r="O41" s="112" t="str">
        <f ca="1">IF($T$4=Datasheet!$B$49,"-",IF($D41="Optagelse","Timetillæg","-"))</f>
        <v>-</v>
      </c>
      <c r="P41" s="110" t="str">
        <f ca="1">IF($T$4=Datasheet!$B$49,"-",IF($D41="Optagelse",Datasheet!$B$77,"-"))</f>
        <v>-</v>
      </c>
      <c r="Q41" s="113" t="str" cm="1">
        <f t="array" aca="1" ref="Q41" ca="1">(_xlfn.IFS($T$4=Datasheet!$B$49,"-",$D41="Fri","-",$D41="Forbered/afrig tid","-",$D41="Rejsetid","-",$D41="Rejsetid +50%","-",$D41="Sygdom","-",$D41="optagelse",(_xlfn.IFS(Q40="Planmæssigt","-",Q40="Forsinket","Diæt",Q40="Ingen servering","Diæt",Q40="Pause ikke afholdt","Diæt + 45min"))))</f>
        <v>-</v>
      </c>
      <c r="R41" s="113" t="str" cm="1">
        <f t="array" aca="1" ref="R41" ca="1">_xlfn.IFS($T$4=Datasheet!$B$49,"-",$D41="Fri","-",$D41="Forbered/afrig tid","-",$D41="Rejsetid","-",$D41="Rejsetid +50%","-",$D41="Sygdom","-",$D41="optagelse",(_xlfn.IFS(R40="Planmæssigt","-",R40="Forsinket","Diæt",R40="Ingen servering","Diæt",R40="Pause ikke afholdt","Diæt + 30min")))</f>
        <v>-</v>
      </c>
      <c r="S41" s="113" t="str" cm="1">
        <f t="array" aca="1" ref="S41" ca="1">_xlfn.IFS($T$4=Datasheet!$B$49,"-",$D41="Fri","-",$D41="Forbered/afrig tid","-",$D41="Rejsetid","-",$D41="Rejsetid +50%","-",$D41="Sygdom","-",$D41="optagelse",(_xlfn.IFS(S40="Planmæssigt","-",S40="Forsinket","Diæt",S40="Ingen servering","Diæt",S40="Pause ikke afholdt","Diæt + 15min")))</f>
        <v>-</v>
      </c>
      <c r="T41" s="105" t="str" cm="1">
        <f t="array" aca="1" ref="T41" ca="1">IF($T29=Datasheet!$B$49,"-",IF(D41="Optagelse",_xlfn.IFS(T40="Ingen rabat","-",T40="Rabat A",Datasheet!$B$96,T40="Rabat B",Datasheet!$B$97),"-"))</f>
        <v>-</v>
      </c>
      <c r="U41" s="95" t="str">
        <f>IF(U40="Ingen diæt","-",U40)</f>
        <v>-</v>
      </c>
      <c r="W41" s="117"/>
      <c r="Y41" s="66"/>
    </row>
    <row r="42" spans="2:25" s="14" customFormat="1" ht="15" customHeight="1" thickBot="1" x14ac:dyDescent="0.25">
      <c r="B42" s="80"/>
      <c r="C42" s="128" t="s">
        <v>133</v>
      </c>
      <c r="D42" s="132"/>
      <c r="E42" s="133"/>
      <c r="G42" s="101"/>
      <c r="H42" s="17" t="str" cm="1">
        <f t="array" aca="1" ref="H42" ca="1">IF($T$4=Datasheet!$B$49,grundløn/8,(_xlfn.IFS($D41="Fri","-",$D41="Optagelse",grundløn/8,$D41="rejsetid",grundløn/8,$D41="rejsetid +50%",(grundløn/8)*1.5,$D41="Forbered/afrig tid",grundløn/8,$D41="Sygdom",grundløn/8)))</f>
        <v>-</v>
      </c>
      <c r="I42" s="17" t="str" cm="1">
        <f t="array" aca="1" ref="I42" ca="1">IF($T$4=Datasheet!$B$49,Datasheet!$C$66,_xlfn.IFS($D41="Fri","-",$D41="Sygdom","-",$D41="Rejsetid","-",D41="Rejsetid +50%","-",$D41="Optagelse",grundløn/8*$I41+grundløn/8,$D41="rejsetid","-",$D41="Forbered/afrig tid",grundløn/8*$I41+grundløn/8))</f>
        <v>-</v>
      </c>
      <c r="J42" s="17" t="str" cm="1">
        <f t="array" aca="1" ref="J42" ca="1">IF($T$4=Datasheet!$B$49,Datasheet!$C$66,_xlfn.IFS($D41="Fri","-",$D41="Sygdom","-",$D41="Rejsetid","-",D41="Rejsetid +50%","-",$D41="Optagelse",grundløn/8*$J41+grundløn/8,$D41="rejsetid","-",$D41="Forbered/afrig tid",grundløn/8*$J41+grundløn/8))</f>
        <v>-</v>
      </c>
      <c r="K42" s="17" t="str" cm="1">
        <f t="array" aca="1" ref="K42" ca="1">IF($T$4=Datasheet!$B$49,Datasheet!$C$66,_xlfn.IFS($D41="Fri","-",$D41="Sygdom","-",$D41="Rejsetid","-",D41="Rejsetid +50%","-",$D41="Optagelse",grundløn/8*$K41+grundløn/8,$D41="rejsetid","-",$D41="Forbered/afrig tid",grundløn/8*$K41+grundløn/8))</f>
        <v>-</v>
      </c>
      <c r="L42" s="17" t="str" cm="1">
        <f t="array" aca="1" ref="L42" ca="1">IF($T$4=Datasheet!$B$49,Datasheet!$D$66,_xlfn.IFS($D41="Fri","-",$D41="Sygdom","-",$D41="Rejsetid","-",D41="Rejsetid +50%","-",$D41="Optagelse",grundløn/8*$L41+grundløn/8,$D41="rejsetid","-",$D41="Forbered/afrig tid",grundløn/8*$L41+grundløn/8))</f>
        <v>-</v>
      </c>
      <c r="M42" s="83" t="str">
        <f ca="1">IF(AND(M41&lt;&gt;0,M41&lt;&gt;"-"),H42*M40,"-")</f>
        <v>-</v>
      </c>
      <c r="N42" s="17" t="str">
        <f ca="1">IF($T$4=Datasheet!$B$49,"-",IF($D41="Optagelse",Datasheet!$B$82,"-"))</f>
        <v>-</v>
      </c>
      <c r="O42" s="17" t="str">
        <f ca="1">IF($T$4=Datasheet!$B$49,"-",IF($D41="Optagelse",Datasheet!$B$83,"-"))</f>
        <v>-</v>
      </c>
      <c r="P42" s="16" t="str">
        <f ca="1">IF($T$4=Datasheet!$B$49,"-",IF(D41="Optagelse",((grundløn/8)*P41+grundløn/8),"-"))</f>
        <v>-</v>
      </c>
      <c r="Q42" s="16" t="str" cm="1">
        <f t="array" aca="1" ref="Q42" ca="1">_xlfn.IFS($T$4=Datasheet!$B$49,"-",$D41="Fri","-",$D41="Forbered/afrig tid","-",$D41="Rejsetid","-",$D41="Rejsetid +50%","-",$D41="Sygdom","-",$D41="optagelse",_xlfn.IFS(Q40="Planmæssigt","-",Q40="Forsinket",Datasheet!$B$88,Q40="Ingen servering",Datasheet!$B$88,Q40="Pause ikke afholdt",Datasheet!$B$88))</f>
        <v>-</v>
      </c>
      <c r="R42" s="16" t="str" cm="1">
        <f t="array" aca="1" ref="R42" ca="1">_xlfn.IFS($T$4=Datasheet!$B$49,"-",$D41="Fri","-",$D41="Forbered/afrig tid","-",$D41="Rejsetid","-",$D41="Rejsetid +50%","-",$D41="Sygdom","-",$D41="optagelse",_xlfn.IFS(R40="Planmæssigt","-",R40="Forsinket",Datasheet!$B$88,R40="Ingen servering",Datasheet!$B$88,R40="Pause ikke afholdt",Datasheet!$B$88))</f>
        <v>-</v>
      </c>
      <c r="S42" s="16" t="str" cm="1">
        <f t="array" aca="1" ref="S42" ca="1">_xlfn.IFS($T$4=Datasheet!$B$49,"-",$D41="Fri","-",$D41="Forbered/afrig tid","-",$D41="Rejsetid","-",$D41="Rejsetid +50%","-",$D41="Sygdom","-",$D41="optagelse",_xlfn.IFS(S40="Planmæssigt","-",S40="Forsinket",Datasheet!$B$88,S40="Ingen servering",Datasheet!$B$88,S40="Pause ikke afholdt",Datasheet!$B$88))</f>
        <v>-</v>
      </c>
      <c r="T42" s="16" t="str" cm="1">
        <f t="array" aca="1" ref="T42" ca="1">IF($T29=Datasheet!$B$49,"-",(_xlfn.IFS($D41="Fri","-",$D41="rejsetid","-",$D41="Rejsetid +50%","-",$D41="Sygdom","-",$D41="Forbered/afrig tid","-",$D41="Optagelse",(IF(T40="Ingen rabat","-",(SUM(H43:S43)))))))</f>
        <v>-</v>
      </c>
      <c r="U42" s="96" t="str" cm="1">
        <f t="array" aca="1" ref="U42" ca="1">IF(OR(Q41&lt;&gt;"-",R41&lt;&gt;"-",S41&lt;&gt;"-",D41="Fri"),"-",_xlfn.IFS(U41="-","-",U41="Morgen",86.1,U41="Morgen+Frokost",258.3,U41="Frokost el. Aften",172.2,U41="Frokost+Aften", 344.4,U41="Fuld kost",420.5))</f>
        <v>-</v>
      </c>
      <c r="W42" s="118"/>
      <c r="X42" s="63"/>
      <c r="Y42" s="67">
        <f ca="1">SUM(Q42:S42)+SUM(U42)</f>
        <v>0</v>
      </c>
    </row>
    <row r="43" spans="2:25" s="14" customFormat="1" ht="15" customHeight="1" thickBot="1" x14ac:dyDescent="0.25">
      <c r="D43" s="85"/>
      <c r="G43" s="97"/>
      <c r="H43" s="98" t="str">
        <f>IF($D41="Fri","-",(IF(H40&gt;0,H42*H40,"-")))</f>
        <v>-</v>
      </c>
      <c r="I43" s="98" t="str">
        <f ca="1">IF(AND(I40&lt;&gt;"-",I42&lt;&gt;"-"),I42*I40,"-")</f>
        <v>-</v>
      </c>
      <c r="J43" s="98" t="str">
        <f t="shared" ref="J43:L43" ca="1" si="9">IF(AND(J40&lt;&gt;"-",J42&lt;&gt;"-"),J42*J40,"-")</f>
        <v>-</v>
      </c>
      <c r="K43" s="98" t="str">
        <f t="shared" ca="1" si="9"/>
        <v>-</v>
      </c>
      <c r="L43" s="98" t="str">
        <f t="shared" ca="1" si="9"/>
        <v>-</v>
      </c>
      <c r="M43" s="99" t="str">
        <f ca="1">IF(M42&lt;&gt;"-",M42*M41,"-")</f>
        <v>-</v>
      </c>
      <c r="N43" s="98" t="str">
        <f ca="1">IF(AND(N40&lt;&gt;"-",N42&lt;&gt;"-"),N42*N40,"-")</f>
        <v>-</v>
      </c>
      <c r="O43" s="98" t="str">
        <f ca="1">IF(AND(O40&lt;&gt;"-",O42&lt;&gt;"-"),O42*O40,"-")</f>
        <v>-</v>
      </c>
      <c r="P43" s="98" t="str">
        <f t="shared" ref="P43" ca="1" si="10">IF(AND(P40&lt;&gt;"-",P42&lt;&gt;"-"),P42*P40,"-")</f>
        <v>-</v>
      </c>
      <c r="Q43" s="100" t="str" cm="1">
        <f t="array" aca="1" ref="Q43" ca="1">_xlfn.IFS($T$4=Datasheet!$B$49,"-",$D41="Fri","-",$D41="Forbered/afrig tid","-",$D41="Rejsetid","-",$D41="Rejsetid +50%","-",$D41="Sygdom","-",$D41="optagelse",_xlfn.IFS(Q40="Planmæssigt","-",Q40="Forsinket","-",Q40="Ingen servering","-",Q40="Pause ikke afholdt",($I42*0.75)))</f>
        <v>-</v>
      </c>
      <c r="R43" s="100" t="str" cm="1">
        <f t="array" aca="1" ref="R43" ca="1">_xlfn.IFS($T$4=Datasheet!$B$49,"-",$D41="Fri","-",$D41="Forbered/afrig tid","-",$D41="Rejsetid","-",$D41="Rejsetid +50%","-",$D41="Sygdom","-",$D41="optagelse",_xlfn.IFS(R40="Planmæssigt","-",R40="Forsinket","-",R40="Ingen servering","-",R40="Pause ikke afholdt",($J42*0.5)))</f>
        <v>-</v>
      </c>
      <c r="S43" s="62" t="str" cm="1">
        <f t="array" aca="1" ref="S43" ca="1">_xlfn.IFS($T$4=Datasheet!$B$49,"-",$D41="Fri","-",$D41="Forbered/afrig tid","-",$D41="Rejsetid","-",$D41="Rejsetid +50%","-",$D41="Sygdom","-",$D41="optagelse",_xlfn.IFS(S40="Planmæssigt","-",S40="Forsinket","-",S40="Ingen servering","-",S40="Pause ikke afholdt",(K42*0.25)))</f>
        <v>-</v>
      </c>
      <c r="T43" s="107" t="str" cm="1">
        <f t="array" aca="1" ref="T43" ca="1">_xlfn.IFS($D41="Fri","-",$D41="rejsetid","-",$D41="Rejsetid +50%","-",$D41="Sygdom","-",$D41="Optagelse",(_xlfn.IFS(T42="-","-",T42=0,"-",T42&lt;&gt;0,T42*T41)),$D41="Forbered/afrig tid","-")</f>
        <v>-</v>
      </c>
      <c r="U43" s="104" t="s">
        <v>140</v>
      </c>
      <c r="W43" s="119" cm="1">
        <f t="array" aca="1" ref="W43" ca="1">_xlfn.IFS($D41="Fri",0,$D41="optagelse",(_xlfn.IFS(SUM(H43:T43)=0,0,SUM(H43:T43)&gt;grundløn,SUM(H43:T43),SUM(H43:T43)&lt;=grundløn,grundløn)),$D41="Forbered/afrig tid",(IF(SUM(H43:T43)=0,0,SUM(H43:T43))),$D41="rejsetid",(IF(SUM(H43:T43)=0,0,SUM(H43:T43))),$D41="rejsetid +50%",(IF(SUM(H43:T43)=0,0,SUM(H43:T43))),$D41="sygdom",(IF(SUM(H43:T43)=0,0,SUM(H43:T43))))</f>
        <v>0</v>
      </c>
      <c r="X43" s="64"/>
      <c r="Y43" s="66"/>
    </row>
    <row r="44" spans="2:25" ht="15" thickBot="1" x14ac:dyDescent="0.25">
      <c r="W44" s="120"/>
      <c r="Y44" s="68"/>
    </row>
    <row r="45" spans="2:25" s="14" customFormat="1" ht="30" customHeight="1" thickBot="1" x14ac:dyDescent="0.25">
      <c r="B45" s="27">
        <f>B40+1</f>
        <v>45571</v>
      </c>
      <c r="C45" s="86">
        <f>WEEKDAY(B45,1)</f>
        <v>1</v>
      </c>
      <c r="D45" s="71">
        <v>0.33333333333333331</v>
      </c>
      <c r="E45" s="71">
        <v>0.66666666666666663</v>
      </c>
      <c r="G45" s="89" t="str" cm="1">
        <f t="array" ref="G45">_xlfn.IFS($D46="Fri","-",$D46="Sygdom","-",$D46&lt;&gt;"Fri",IF(AND(E45&gt;0,D45&gt;0),MOD((HOUR(E45)-HOUR(D45))+(MINUTE(E45)-MINUTE(D45))/60,24),0/24))</f>
        <v>-</v>
      </c>
      <c r="H45" s="90" t="str" cm="1">
        <f t="array" aca="1" ref="H45" ca="1">IF($T$4=Datasheet!$B$49,(IF(G45=0,0,(IF(AND(G45&gt;0,G45&lt;=4),4,(IF(AND(G45&gt;=4,G45&lt;=8,G45&lt;&gt;0),G45,8)))))),_xlfn.IFS($D46="Fri","-",$D46="Sygdom","4",$D46="Optagelse",(IF(G45&gt;0,8,0)),$D46="Forbered/afrig tid",(IF(G45=0,0,(IF(AND(G45&gt;0,G45&lt;=4),4,(IF(AND(G45&gt;=4,G45&lt;=8,G45&lt;&gt;0),G45,8)))))),$D46="Rejsetid",(IF(AND(G45&gt;0,G45&lt;=4),4,(IF(G45&gt;=4,G45,0)))),$D46="Rejsetid +50%",(IF(AND(G45&gt;0,G45&lt;=4),4,(IF(G45&gt;=4,G45,0))))))</f>
        <v>-</v>
      </c>
      <c r="I45" s="91" t="str">
        <f>IF(OR(D46="Optagelse",D46="Forbered/afrig tid"),IF(G45&gt;8,(G45-H45-J45-K45-L45),0),"-")</f>
        <v>-</v>
      </c>
      <c r="J45" s="91" t="str">
        <f>IF(OR($D46="Optagelse",$D46="Forbered/afrig tid"),IF(G45&gt;10,(G45-H45-K45-L45)-2,0),"-")</f>
        <v>-</v>
      </c>
      <c r="K45" s="91" t="str">
        <f>IF(OR($D46="Optagelse",$D46="Forbered/afrig tid"),IF(G45&gt;12,(G45-H45-L45)-4,0),"-")</f>
        <v>-</v>
      </c>
      <c r="L45" s="91" t="str">
        <f>IF(OR(D46="Optagelse",$D46="Forbered/afrig tid"),IF(G45&gt;13,(G45-H45)-5,0),"-")</f>
        <v>-</v>
      </c>
      <c r="M45" s="108">
        <v>0.75</v>
      </c>
      <c r="N45" s="92">
        <v>0</v>
      </c>
      <c r="O45" s="92">
        <v>0</v>
      </c>
      <c r="P45" s="92">
        <v>0</v>
      </c>
      <c r="Q45" s="93" t="s">
        <v>96</v>
      </c>
      <c r="R45" s="93" t="s">
        <v>96</v>
      </c>
      <c r="S45" s="93" t="s">
        <v>96</v>
      </c>
      <c r="T45" s="106" t="s">
        <v>101</v>
      </c>
      <c r="U45" s="122" t="s">
        <v>139</v>
      </c>
      <c r="W45" s="117"/>
      <c r="Y45" s="66"/>
    </row>
    <row r="46" spans="2:25" s="14" customFormat="1" ht="15" customHeight="1" x14ac:dyDescent="0.2">
      <c r="B46" s="28"/>
      <c r="C46" s="127" t="s">
        <v>132</v>
      </c>
      <c r="D46" s="130" t="s">
        <v>134</v>
      </c>
      <c r="E46" s="131"/>
      <c r="G46" s="94"/>
      <c r="H46" s="109" t="str">
        <f ca="1">IF($T$4=Datasheet!$B$49,"Timeløn",(IF(D46="Rejsetid +50%","Timeløn +50%",(IF(D46="Fri","-","Timeløn")))))</f>
        <v>-</v>
      </c>
      <c r="I46" s="110" t="str" cm="1">
        <f t="array" aca="1" ref="I46" ca="1">IF($T$4=Datasheet!$B$49,Datasheet!$C$65,(_xlfn.IFS($D46="Fri","-",$D46="Sygdom","-",$D46="Rejsetid","-",D46="Rejsetid +50%","-",D46="Forbered/afrig tid",Datasheet!$C$56,D46="Optagelse",Datasheet!$C$59)))</f>
        <v>-</v>
      </c>
      <c r="J46" s="110" t="str" cm="1">
        <f t="array" aca="1" ref="J46" ca="1">IF($T$4=Datasheet!$B$49,"Rate 1",_xlfn.IFS($D46="Fri","-",$D46="Sygdom","-",$D46="Rejsetid","-",D46="Rejsetid +50%","-",D46="Rejsetid","-",D46="Forbered/afrig tid",Datasheet!$D$56,D46="Optagelse",Datasheet!$D$59))</f>
        <v>-</v>
      </c>
      <c r="K46" s="110" t="str" cm="1">
        <f t="array" aca="1" ref="K46" ca="1">IF($T$4=Datasheet!$B$49,"Rate 1",_xlfn.IFS(D46="Fri","-",D46="Rejsetid","-",$D46="Sygdom","-",$D46="Rejsetid","-",D46="Rejsetid +50%","-",D46="Forbered/afrig tid",Datasheet!$E$56,D46="Optagelse",Datasheet!$E$59))</f>
        <v>-</v>
      </c>
      <c r="L46" s="110" t="str" cm="1">
        <f t="array" aca="1" ref="L46" ca="1">IF($T$4=Datasheet!$B$49,"Rate 2",_xlfn.IFS($D46="Fri","-",$D46="Sygdom","-",$D46="Rejsetid","-",D46="Rejsetid +50%","-",D46="Rejsetid","-",D46="Forbered/afrig tid",Datasheet!$E$56,D46="Optagelse",Datasheet!$F$59))</f>
        <v>-</v>
      </c>
      <c r="M46" s="111" cm="1">
        <f t="array" aca="1" ref="M46" ca="1">IF(AND($C47="Ja",OR($D46="optagelse",$D46="Forbered/afrig tid")),_xlfn.IFS($D46="optagelse",$G45+$P45,$D46="Forbered/afrig tid",$G45),_xlfn.IFS($D46="Fri",0,$D46="rejsetid",0,$D46="rejsetid +50%",0,$D46="sygdom",0,$C45=1,IF(AND($C45=1,$D46="optagelse"),$G45+$P45,G45),$C45=7,IF(AND($C45=7,$D46="optagelse"),$G45+$P45,$G45),$C45=2,IF(($D45*24)&lt;=6,ColTime($D45,6,Datasheet!$C$83,Datasheet!$C$84)*24,0),$C45=3,0,$C45=4,0,$C45=5,0,$C45=6,IF(($D45*24)&gt;6,ColTime($D45,$E45,Datasheet!$C$83,Datasheet!$C$84)*24,0)))</f>
        <v>0</v>
      </c>
      <c r="N46" s="112" t="str">
        <f ca="1">IF($T$4=Datasheet!$B$49,"-",IF($D46="Optagelse","Timetillæg","-"))</f>
        <v>-</v>
      </c>
      <c r="O46" s="112" t="str">
        <f ca="1">IF($T$4=Datasheet!$B$49,"-",IF($D46="Optagelse","Timetillæg","-"))</f>
        <v>-</v>
      </c>
      <c r="P46" s="110" t="str">
        <f ca="1">IF($T$4=Datasheet!$B$49,"-",IF($D46="Optagelse",Datasheet!$B$77,"-"))</f>
        <v>-</v>
      </c>
      <c r="Q46" s="113" t="str" cm="1">
        <f t="array" aca="1" ref="Q46" ca="1">(_xlfn.IFS($T$4=Datasheet!$B$49,"-",$D46="Fri","-",$D46="Forbered/afrig tid","-",$D46="Rejsetid","-",$D46="Rejsetid +50%","-",$D46="Sygdom","-",$D46="optagelse",(_xlfn.IFS(Q45="Planmæssigt","-",Q45="Forsinket","Diæt",Q45="Ingen servering","Diæt",Q45="Pause ikke afholdt","Diæt + 45min"))))</f>
        <v>-</v>
      </c>
      <c r="R46" s="113" t="str" cm="1">
        <f t="array" aca="1" ref="R46" ca="1">_xlfn.IFS($T$4=Datasheet!$B$49,"-",$D46="Fri","-",$D46="Forbered/afrig tid","-",$D46="Rejsetid","-",$D46="Rejsetid +50%","-",$D46="Sygdom","-",$D46="optagelse",(_xlfn.IFS(R45="Planmæssigt","-",R45="Forsinket","Diæt",R45="Ingen servering","Diæt",R45="Pause ikke afholdt","Diæt + 30min")))</f>
        <v>-</v>
      </c>
      <c r="S46" s="113" t="str" cm="1">
        <f t="array" aca="1" ref="S46" ca="1">_xlfn.IFS($T$4=Datasheet!$B$49,"-",$D46="Fri","-",$D46="Forbered/afrig tid","-",$D46="Rejsetid","-",$D46="Rejsetid +50%","-",$D46="Sygdom","-",$D46="optagelse",(_xlfn.IFS(S45="Planmæssigt","-",S45="Forsinket","Diæt",S45="Ingen servering","Diæt",S45="Pause ikke afholdt","Diæt + 15min")))</f>
        <v>-</v>
      </c>
      <c r="T46" s="105" t="str" cm="1">
        <f t="array" aca="1" ref="T46" ca="1">IF($T34=Datasheet!$B$49,"-",IF(D46="Optagelse",_xlfn.IFS(T45="Ingen rabat","-",T45="Rabat A",Datasheet!$B$96,T45="Rabat B",Datasheet!$B$97),"-"))</f>
        <v>-</v>
      </c>
      <c r="U46" s="95" t="str">
        <f>IF(U45="Ingen diæt","-",U45)</f>
        <v>-</v>
      </c>
      <c r="W46" s="117"/>
      <c r="Y46" s="66"/>
    </row>
    <row r="47" spans="2:25" s="14" customFormat="1" ht="15" customHeight="1" thickBot="1" x14ac:dyDescent="0.25">
      <c r="B47" s="80"/>
      <c r="C47" s="128" t="s">
        <v>133</v>
      </c>
      <c r="D47" s="132"/>
      <c r="E47" s="133"/>
      <c r="G47" s="101"/>
      <c r="H47" s="17" t="str" cm="1">
        <f t="array" aca="1" ref="H47" ca="1">IF($T$4=Datasheet!$B$49,grundløn/8,(_xlfn.IFS($D46="Fri","-",$D46="Optagelse",grundløn/8,$D46="rejsetid",grundløn/8,$D46="rejsetid +50%",(grundløn/8)*1.5,$D46="Forbered/afrig tid",grundløn/8,$D46="Sygdom",grundløn/8)))</f>
        <v>-</v>
      </c>
      <c r="I47" s="17" t="str" cm="1">
        <f t="array" aca="1" ref="I47" ca="1">IF($T$4=Datasheet!$B$49,Datasheet!$C$66,_xlfn.IFS($D46="Fri","-",$D46="Sygdom","-",$D46="Rejsetid","-",D46="Rejsetid +50%","-",$D46="Optagelse",grundløn/8*$I46+grundløn/8,$D46="rejsetid","-",$D46="Forbered/afrig tid",grundløn/8*$I46+grundløn/8))</f>
        <v>-</v>
      </c>
      <c r="J47" s="17" t="str" cm="1">
        <f t="array" aca="1" ref="J47" ca="1">IF($T$4=Datasheet!$B$49,Datasheet!$C$66,_xlfn.IFS($D46="Fri","-",$D46="Sygdom","-",$D46="Rejsetid","-",D46="Rejsetid +50%","-",$D46="Optagelse",grundløn/8*$J46+grundløn/8,$D46="rejsetid","-",$D46="Forbered/afrig tid",grundløn/8*$J46+grundløn/8))</f>
        <v>-</v>
      </c>
      <c r="K47" s="17" t="str" cm="1">
        <f t="array" aca="1" ref="K47" ca="1">IF($T$4=Datasheet!$B$49,Datasheet!$C$66,_xlfn.IFS($D46="Fri","-",$D46="Sygdom","-",$D46="Rejsetid","-",D46="Rejsetid +50%","-",$D46="Optagelse",grundløn/8*$K46+grundløn/8,$D46="rejsetid","-",$D46="Forbered/afrig tid",grundløn/8*$K46+grundløn/8))</f>
        <v>-</v>
      </c>
      <c r="L47" s="17" t="str" cm="1">
        <f t="array" aca="1" ref="L47" ca="1">IF($T$4=Datasheet!$B$49,Datasheet!$D$66,_xlfn.IFS($D46="Fri","-",$D46="Sygdom","-",$D46="Rejsetid","-",D46="Rejsetid +50%","-",$D46="Optagelse",grundløn/8*$L46+grundløn/8,$D46="rejsetid","-",$D46="Forbered/afrig tid",grundløn/8*$L46+grundløn/8))</f>
        <v>-</v>
      </c>
      <c r="M47" s="83" t="str">
        <f ca="1">IF(AND(M46&lt;&gt;0,M46&lt;&gt;"-"),H47*M45,"-")</f>
        <v>-</v>
      </c>
      <c r="N47" s="17" t="str">
        <f ca="1">IF($T$4=Datasheet!$B$49,"-",IF($D46="Optagelse",Datasheet!$B$82,"-"))</f>
        <v>-</v>
      </c>
      <c r="O47" s="17" t="str">
        <f ca="1">IF($T$4=Datasheet!$B$49,"-",IF($D46="Optagelse",Datasheet!$B$83,"-"))</f>
        <v>-</v>
      </c>
      <c r="P47" s="16" t="str">
        <f ca="1">IF($T$4=Datasheet!$B$49,"-",IF(D46="Optagelse",((grundløn/8)*P46+grundløn/8),"-"))</f>
        <v>-</v>
      </c>
      <c r="Q47" s="16" t="str" cm="1">
        <f t="array" aca="1" ref="Q47" ca="1">_xlfn.IFS($T$4=Datasheet!$B$49,"-",$D46="Fri","-",$D46="Forbered/afrig tid","-",$D46="Rejsetid","-",$D46="Rejsetid +50%","-",$D46="Sygdom","-",$D46="optagelse",_xlfn.IFS(Q45="Planmæssigt","-",Q45="Forsinket",Datasheet!$B$88,Q45="Ingen servering",Datasheet!$B$88,Q45="Pause ikke afholdt",Datasheet!$B$88))</f>
        <v>-</v>
      </c>
      <c r="R47" s="16" t="str" cm="1">
        <f t="array" aca="1" ref="R47" ca="1">_xlfn.IFS($T$4=Datasheet!$B$49,"-",$D46="Fri","-",$D46="Forbered/afrig tid","-",$D46="Rejsetid","-",$D46="Rejsetid +50%","-",$D46="Sygdom","-",$D46="optagelse",_xlfn.IFS(R45="Planmæssigt","-",R45="Forsinket",Datasheet!$B$88,R45="Ingen servering",Datasheet!$B$88,R45="Pause ikke afholdt",Datasheet!$B$88))</f>
        <v>-</v>
      </c>
      <c r="S47" s="16" t="str" cm="1">
        <f t="array" aca="1" ref="S47" ca="1">_xlfn.IFS($T$4=Datasheet!$B$49,"-",$D46="Fri","-",$D46="Forbered/afrig tid","-",$D46="Rejsetid","-",$D46="Rejsetid +50%","-",$D46="Sygdom","-",$D46="optagelse",_xlfn.IFS(S45="Planmæssigt","-",S45="Forsinket",Datasheet!$B$88,S45="Ingen servering",Datasheet!$B$88,S45="Pause ikke afholdt",Datasheet!$B$88))</f>
        <v>-</v>
      </c>
      <c r="T47" s="16" t="str" cm="1">
        <f t="array" aca="1" ref="T47" ca="1">IF($T34=Datasheet!$B$49,"-",(_xlfn.IFS($D46="Fri","-",$D46="rejsetid","-",$D46="Rejsetid +50%","-",$D46="Sygdom","-",$D46="Forbered/afrig tid","-",$D46="Optagelse",(IF(T45="Ingen rabat","-",(SUM(H48:S48)))))))</f>
        <v>-</v>
      </c>
      <c r="U47" s="96" t="str" cm="1">
        <f t="array" aca="1" ref="U47" ca="1">IF(OR(Q46&lt;&gt;"-",R46&lt;&gt;"-",S46&lt;&gt;"-",D46="Fri"),"-",_xlfn.IFS(U46="-","-",U46="Morgen",86.1,U46="Morgen+Frokost",258.3,U46="Frokost el. Aften",172.2,U46="Frokost+Aften", 344.4,U46="Fuld kost",420.5))</f>
        <v>-</v>
      </c>
      <c r="W47" s="118"/>
      <c r="X47" s="63"/>
      <c r="Y47" s="67">
        <f ca="1">SUM(Q47:S47)+SUM(U47)</f>
        <v>0</v>
      </c>
    </row>
    <row r="48" spans="2:25" s="14" customFormat="1" ht="15" customHeight="1" thickBot="1" x14ac:dyDescent="0.25">
      <c r="D48" s="85"/>
      <c r="G48" s="97"/>
      <c r="H48" s="98" t="str">
        <f>IF($D46="Fri","-",(IF(H45&gt;0,H47*H45,"-")))</f>
        <v>-</v>
      </c>
      <c r="I48" s="98" t="str">
        <f ca="1">IF(AND(I45&lt;&gt;"-",I47&lt;&gt;"-"),I47*I45,"-")</f>
        <v>-</v>
      </c>
      <c r="J48" s="98" t="str">
        <f t="shared" ref="J48:L48" ca="1" si="11">IF(AND(J45&lt;&gt;"-",J47&lt;&gt;"-"),J47*J45,"-")</f>
        <v>-</v>
      </c>
      <c r="K48" s="98" t="str">
        <f t="shared" ca="1" si="11"/>
        <v>-</v>
      </c>
      <c r="L48" s="98" t="str">
        <f t="shared" ca="1" si="11"/>
        <v>-</v>
      </c>
      <c r="M48" s="99" t="str">
        <f ca="1">IF(M47&lt;&gt;"-",M47*M46,"-")</f>
        <v>-</v>
      </c>
      <c r="N48" s="98" t="str">
        <f ca="1">IF(AND(N45&lt;&gt;"-",N47&lt;&gt;"-"),N47*N45,"-")</f>
        <v>-</v>
      </c>
      <c r="O48" s="98" t="str">
        <f ca="1">IF(AND(O45&lt;&gt;"-",O47&lt;&gt;"-"),O47*O45,"-")</f>
        <v>-</v>
      </c>
      <c r="P48" s="98" t="str">
        <f t="shared" ref="P48" ca="1" si="12">IF(AND(P45&lt;&gt;"-",P47&lt;&gt;"-"),P47*P45,"-")</f>
        <v>-</v>
      </c>
      <c r="Q48" s="100" t="str" cm="1">
        <f t="array" aca="1" ref="Q48" ca="1">_xlfn.IFS($T$4=Datasheet!$B$49,"-",$D46="Fri","-",$D46="Forbered/afrig tid","-",$D46="Rejsetid","-",$D46="Rejsetid +50%","-",$D46="Sygdom","-",$D46="optagelse",_xlfn.IFS(Q45="Planmæssigt","-",Q45="Forsinket","-",Q45="Ingen servering","-",Q45="Pause ikke afholdt",($I47*0.75)))</f>
        <v>-</v>
      </c>
      <c r="R48" s="100" t="str" cm="1">
        <f t="array" aca="1" ref="R48" ca="1">_xlfn.IFS($T$4=Datasheet!$B$49,"-",$D46="Fri","-",$D46="Forbered/afrig tid","-",$D46="Rejsetid","-",$D46="Rejsetid +50%","-",$D46="Sygdom","-",$D46="optagelse",_xlfn.IFS(R45="Planmæssigt","-",R45="Forsinket","-",R45="Ingen servering","-",R45="Pause ikke afholdt",($J47*0.5)))</f>
        <v>-</v>
      </c>
      <c r="S48" s="62" t="str" cm="1">
        <f t="array" aca="1" ref="S48" ca="1">_xlfn.IFS($T$4=Datasheet!$B$49,"-",$D46="Fri","-",$D46="Forbered/afrig tid","-",$D46="Rejsetid","-",$D46="Rejsetid +50%","-",$D46="Sygdom","-",$D46="optagelse",_xlfn.IFS(S45="Planmæssigt","-",S45="Forsinket","-",S45="Ingen servering","-",S45="Pause ikke afholdt",(K47*0.25)))</f>
        <v>-</v>
      </c>
      <c r="T48" s="107" t="str" cm="1">
        <f t="array" aca="1" ref="T48" ca="1">_xlfn.IFS($D46="Fri","-",$D46="rejsetid","-",$D46="Rejsetid +50%","-",$D46="Sygdom","-",$D46="Optagelse",(_xlfn.IFS(T47="-","-",T47=0,"-",T47&lt;&gt;0,T47*T46)),$D46="Forbered/afrig tid","-")</f>
        <v>-</v>
      </c>
      <c r="U48" s="104" t="s">
        <v>140</v>
      </c>
      <c r="W48" s="123" cm="1">
        <f t="array" aca="1" ref="W48" ca="1">_xlfn.IFS($D46="Fri",0,$D46="optagelse",(_xlfn.IFS(SUM(H48:T48)=0,0,SUM(H48:T48)&gt;grundløn,SUM(H48:T48),SUM(H48:T48)&lt;=grundløn,grundløn)),$D46="Forbered/afrig tid",(IF(SUM(H48:T48)=0,0,SUM(H48:T48))),$D46="rejsetid",(IF(SUM(H48:T48)=0,0,SUM(H48:T48))),$D46="rejsetid +50%",(IF(SUM(H48:T48)=0,0,SUM(H48:T48))),$D46="sygdom",(IF(SUM(H48:T48)=0,0,SUM(H48:T48))))</f>
        <v>0</v>
      </c>
      <c r="X48" s="64"/>
      <c r="Y48" s="124"/>
    </row>
    <row r="49" spans="2:23" ht="32" customHeight="1" x14ac:dyDescent="0.2">
      <c r="R49" s="58" t="s">
        <v>122</v>
      </c>
      <c r="T49" s="58" t="s">
        <v>123</v>
      </c>
      <c r="W49" s="125"/>
    </row>
    <row r="50" spans="2:23" s="14" customFormat="1" ht="23" customHeight="1" thickBot="1" x14ac:dyDescent="0.25">
      <c r="B50" s="54"/>
      <c r="C50" s="54"/>
      <c r="D50" s="54"/>
      <c r="E50" s="55"/>
      <c r="F50" s="55"/>
      <c r="G50" s="56"/>
      <c r="H50" s="57"/>
      <c r="I50" s="56"/>
      <c r="J50" s="56"/>
      <c r="K50" s="56"/>
      <c r="L50" s="152" t="s">
        <v>129</v>
      </c>
      <c r="M50" s="152"/>
      <c r="N50" s="152"/>
      <c r="O50" s="152"/>
      <c r="P50" s="152"/>
      <c r="Q50" s="152"/>
      <c r="R50" s="61">
        <v>0</v>
      </c>
      <c r="S50" s="59" t="s">
        <v>121</v>
      </c>
      <c r="T50" s="60">
        <f ca="1">grundløn</f>
        <v>4100</v>
      </c>
      <c r="U50" s="121"/>
      <c r="V50" s="121"/>
      <c r="W50" s="126" t="str">
        <f>IF(R50&lt;&gt;0,R50*T50,"-")</f>
        <v>-</v>
      </c>
    </row>
    <row r="51" spans="2:23" s="14" customFormat="1" x14ac:dyDescent="0.2">
      <c r="B51" s="12"/>
      <c r="C51" s="13"/>
      <c r="D51" s="13"/>
      <c r="E51" s="13"/>
      <c r="F51" s="13"/>
      <c r="G51" s="18"/>
      <c r="H51" s="20"/>
    </row>
  </sheetData>
  <sheetProtection selectLockedCells="1"/>
  <mergeCells count="28">
    <mergeCell ref="N11:T11"/>
    <mergeCell ref="L50:Q50"/>
    <mergeCell ref="B2:E2"/>
    <mergeCell ref="B4:E4"/>
    <mergeCell ref="B6:E6"/>
    <mergeCell ref="B8:E8"/>
    <mergeCell ref="D16:E17"/>
    <mergeCell ref="Q12:S12"/>
    <mergeCell ref="G12:L12"/>
    <mergeCell ref="N12:O12"/>
    <mergeCell ref="H2:K2"/>
    <mergeCell ref="H4:K4"/>
    <mergeCell ref="H6:K6"/>
    <mergeCell ref="H8:K8"/>
    <mergeCell ref="M2:P2"/>
    <mergeCell ref="M4:P4"/>
    <mergeCell ref="M6:P6"/>
    <mergeCell ref="M8:P8"/>
    <mergeCell ref="R2:W2"/>
    <mergeCell ref="T4:W4"/>
    <mergeCell ref="T6:W6"/>
    <mergeCell ref="T8:W8"/>
    <mergeCell ref="D46:E47"/>
    <mergeCell ref="D21:E22"/>
    <mergeCell ref="D26:E27"/>
    <mergeCell ref="D31:E32"/>
    <mergeCell ref="D36:E37"/>
    <mergeCell ref="D41:E42"/>
  </mergeCells>
  <conditionalFormatting sqref="C15">
    <cfRule type="cellIs" dxfId="117" priority="905" operator="equal">
      <formula>7</formula>
    </cfRule>
    <cfRule type="cellIs" dxfId="116" priority="904" stopIfTrue="1" operator="equal">
      <formula>1</formula>
    </cfRule>
    <cfRule type="expression" dxfId="115" priority="197" stopIfTrue="1">
      <formula>$C17="ja"</formula>
    </cfRule>
  </conditionalFormatting>
  <conditionalFormatting sqref="C20">
    <cfRule type="cellIs" dxfId="114" priority="70" operator="equal">
      <formula>7</formula>
    </cfRule>
    <cfRule type="cellIs" dxfId="113" priority="69" stopIfTrue="1" operator="equal">
      <formula>1</formula>
    </cfRule>
    <cfRule type="expression" dxfId="112" priority="64" stopIfTrue="1">
      <formula>$C22="ja"</formula>
    </cfRule>
  </conditionalFormatting>
  <conditionalFormatting sqref="C25">
    <cfRule type="cellIs" dxfId="111" priority="61" operator="equal">
      <formula>7</formula>
    </cfRule>
    <cfRule type="cellIs" dxfId="110" priority="60" stopIfTrue="1" operator="equal">
      <formula>1</formula>
    </cfRule>
    <cfRule type="expression" dxfId="109" priority="55" stopIfTrue="1">
      <formula>$C27="ja"</formula>
    </cfRule>
  </conditionalFormatting>
  <conditionalFormatting sqref="C30">
    <cfRule type="cellIs" dxfId="108" priority="52" operator="equal">
      <formula>7</formula>
    </cfRule>
    <cfRule type="cellIs" dxfId="107" priority="51" stopIfTrue="1" operator="equal">
      <formula>1</formula>
    </cfRule>
    <cfRule type="expression" dxfId="106" priority="46" stopIfTrue="1">
      <formula>$C32="ja"</formula>
    </cfRule>
  </conditionalFormatting>
  <conditionalFormatting sqref="C35">
    <cfRule type="cellIs" dxfId="105" priority="43" operator="equal">
      <formula>7</formula>
    </cfRule>
    <cfRule type="expression" dxfId="104" priority="37" stopIfTrue="1">
      <formula>$C37="ja"</formula>
    </cfRule>
    <cfRule type="cellIs" dxfId="103" priority="42" stopIfTrue="1" operator="equal">
      <formula>1</formula>
    </cfRule>
  </conditionalFormatting>
  <conditionalFormatting sqref="C40">
    <cfRule type="expression" dxfId="102" priority="28" stopIfTrue="1">
      <formula>$C42="ja"</formula>
    </cfRule>
    <cfRule type="cellIs" dxfId="101" priority="33" stopIfTrue="1" operator="equal">
      <formula>1</formula>
    </cfRule>
    <cfRule type="cellIs" dxfId="100" priority="34" operator="equal">
      <formula>7</formula>
    </cfRule>
  </conditionalFormatting>
  <conditionalFormatting sqref="C45">
    <cfRule type="cellIs" dxfId="99" priority="24" stopIfTrue="1" operator="equal">
      <formula>1</formula>
    </cfRule>
    <cfRule type="cellIs" dxfId="98" priority="25" operator="equal">
      <formula>7</formula>
    </cfRule>
    <cfRule type="expression" dxfId="97" priority="19" stopIfTrue="1">
      <formula>$C47="ja"</formula>
    </cfRule>
  </conditionalFormatting>
  <conditionalFormatting sqref="D15:E15">
    <cfRule type="expression" dxfId="96" priority="659" stopIfTrue="1">
      <formula>$D16="Fri"</formula>
    </cfRule>
    <cfRule type="expression" dxfId="95" priority="651">
      <formula>$D16="Sygdom"</formula>
    </cfRule>
  </conditionalFormatting>
  <conditionalFormatting sqref="D20:E20">
    <cfRule type="expression" dxfId="94" priority="68" stopIfTrue="1">
      <formula>$D21="Fri"</formula>
    </cfRule>
    <cfRule type="expression" dxfId="93" priority="67">
      <formula>$D21="Sygdom"</formula>
    </cfRule>
  </conditionalFormatting>
  <conditionalFormatting sqref="D25:E25">
    <cfRule type="expression" dxfId="92" priority="59" stopIfTrue="1">
      <formula>$D26="Fri"</formula>
    </cfRule>
    <cfRule type="expression" dxfId="91" priority="58">
      <formula>$D26="Sygdom"</formula>
    </cfRule>
  </conditionalFormatting>
  <conditionalFormatting sqref="D30:E30">
    <cfRule type="expression" dxfId="90" priority="50" stopIfTrue="1">
      <formula>$D31="Fri"</formula>
    </cfRule>
    <cfRule type="expression" dxfId="89" priority="49">
      <formula>$D31="Sygdom"</formula>
    </cfRule>
  </conditionalFormatting>
  <conditionalFormatting sqref="D35:E35">
    <cfRule type="expression" dxfId="88" priority="40">
      <formula>$D36="Sygdom"</formula>
    </cfRule>
    <cfRule type="expression" dxfId="87" priority="41" stopIfTrue="1">
      <formula>$D36="Fri"</formula>
    </cfRule>
  </conditionalFormatting>
  <conditionalFormatting sqref="D40:E40">
    <cfRule type="expression" dxfId="86" priority="32" stopIfTrue="1">
      <formula>$D41="Fri"</formula>
    </cfRule>
    <cfRule type="expression" dxfId="85" priority="31">
      <formula>$D41="Sygdom"</formula>
    </cfRule>
  </conditionalFormatting>
  <conditionalFormatting sqref="D45:E45">
    <cfRule type="expression" dxfId="84" priority="22">
      <formula>$D46="Sygdom"</formula>
    </cfRule>
    <cfRule type="expression" dxfId="83" priority="23" stopIfTrue="1">
      <formula>$D46="Fri"</formula>
    </cfRule>
  </conditionalFormatting>
  <conditionalFormatting sqref="M15:M18">
    <cfRule type="expression" dxfId="82" priority="458" stopIfTrue="1">
      <formula>$M$18&lt;&gt;"-"</formula>
    </cfRule>
  </conditionalFormatting>
  <conditionalFormatting sqref="M20:M23">
    <cfRule type="expression" dxfId="81" priority="65">
      <formula>$M$23&lt;&gt;"-"</formula>
    </cfRule>
  </conditionalFormatting>
  <conditionalFormatting sqref="M25:M28">
    <cfRule type="expression" dxfId="80" priority="56">
      <formula>$M$28&lt;&gt;"-"</formula>
    </cfRule>
  </conditionalFormatting>
  <conditionalFormatting sqref="M30:M33">
    <cfRule type="expression" dxfId="79" priority="47">
      <formula>$M$33&lt;&gt;"-"</formula>
    </cfRule>
  </conditionalFormatting>
  <conditionalFormatting sqref="M35 M37:M38">
    <cfRule type="expression" dxfId="78" priority="38">
      <formula>$M$38&lt;&gt;"-"</formula>
    </cfRule>
  </conditionalFormatting>
  <conditionalFormatting sqref="M36">
    <cfRule type="expression" dxfId="59" priority="1">
      <formula>$M$37&lt;&gt;"-"</formula>
    </cfRule>
  </conditionalFormatting>
  <conditionalFormatting sqref="M40:M43">
    <cfRule type="expression" dxfId="77" priority="29">
      <formula>$M$43&lt;&gt;"-"</formula>
    </cfRule>
  </conditionalFormatting>
  <conditionalFormatting sqref="M45:M48">
    <cfRule type="expression" dxfId="76" priority="20">
      <formula>$M$48&lt;&gt;"-"</formula>
    </cfRule>
  </conditionalFormatting>
  <conditionalFormatting sqref="N20:O20">
    <cfRule type="expression" dxfId="75" priority="11">
      <formula>$D21=("Optagelse")</formula>
    </cfRule>
  </conditionalFormatting>
  <conditionalFormatting sqref="N15:T15">
    <cfRule type="expression" dxfId="74" priority="13">
      <formula>$D16=("Optagelse")</formula>
    </cfRule>
  </conditionalFormatting>
  <conditionalFormatting sqref="N25:T25">
    <cfRule type="expression" dxfId="73" priority="10">
      <formula>$D26=("Optagelse")</formula>
    </cfRule>
  </conditionalFormatting>
  <conditionalFormatting sqref="N30:T30">
    <cfRule type="expression" dxfId="72" priority="8">
      <formula>$D31=("Optagelse")</formula>
    </cfRule>
  </conditionalFormatting>
  <conditionalFormatting sqref="N35:T35">
    <cfRule type="expression" dxfId="71" priority="6">
      <formula>$D36=("Optagelse")</formula>
    </cfRule>
  </conditionalFormatting>
  <conditionalFormatting sqref="N40:T40">
    <cfRule type="expression" dxfId="70" priority="4">
      <formula>$D41=("Optagelse")</formula>
    </cfRule>
  </conditionalFormatting>
  <conditionalFormatting sqref="N45:T45">
    <cfRule type="expression" dxfId="69" priority="2">
      <formula>$D46=("Optagelse")</formula>
    </cfRule>
  </conditionalFormatting>
  <conditionalFormatting sqref="P20:T20">
    <cfRule type="expression" dxfId="68" priority="66" stopIfTrue="1">
      <formula>$D21=("Optagelse")</formula>
    </cfRule>
  </conditionalFormatting>
  <conditionalFormatting sqref="U15:U17">
    <cfRule type="expression" dxfId="67" priority="125" stopIfTrue="1">
      <formula>OR($Q$17&lt;&gt;"-",$R$17&lt;&gt;"-",$S$17&lt;&gt;"-",$D$16="Fri")</formula>
    </cfRule>
  </conditionalFormatting>
  <conditionalFormatting sqref="U20:U22">
    <cfRule type="expression" dxfId="66" priority="62">
      <formula>OR($Q$22&lt;&gt;"-",$R$22&lt;&gt;"-",$S$22&lt;&gt;"-",$D$21="Fri")</formula>
    </cfRule>
  </conditionalFormatting>
  <conditionalFormatting sqref="U25:U26">
    <cfRule type="expression" dxfId="65" priority="53">
      <formula>OR($Q$27&lt;&gt;"-",$R$27&lt;&gt;"-",$S$27&lt;&gt;"-",$D$26="Fri")</formula>
    </cfRule>
  </conditionalFormatting>
  <conditionalFormatting sqref="U27">
    <cfRule type="expression" dxfId="64" priority="15">
      <formula>OR($Q$32&lt;&gt;"-",$R$32&lt;&gt;"-",$S$32&lt;&gt;"-",$D$31="Fri")</formula>
    </cfRule>
  </conditionalFormatting>
  <conditionalFormatting sqref="U30:U32">
    <cfRule type="expression" dxfId="63" priority="44">
      <formula>OR($Q$32&lt;&gt;"-",$R$32&lt;&gt;"-",$S$32&lt;&gt;"-",$D$31="Fri")</formula>
    </cfRule>
  </conditionalFormatting>
  <conditionalFormatting sqref="U35:U37">
    <cfRule type="expression" dxfId="62" priority="35">
      <formula>OR($Q$37&lt;&gt;"-",$R$37&lt;&gt;"-",$S$37&lt;&gt;"-",$D$36="Fri")</formula>
    </cfRule>
  </conditionalFormatting>
  <conditionalFormatting sqref="U40:U42">
    <cfRule type="expression" dxfId="61" priority="26">
      <formula>OR($Q$42&lt;&gt;"-",$R$42&lt;&gt;"-",$S$42&lt;&gt;"-",$D$41="Fri")</formula>
    </cfRule>
  </conditionalFormatting>
  <conditionalFormatting sqref="U45:U47">
    <cfRule type="expression" dxfId="60" priority="17">
      <formula>OR($Q$47&lt;&gt;"-",$R$47&lt;&gt;"-",$S$47&lt;&gt;"-",$D$46="Fri")</formula>
    </cfRule>
  </conditionalFormatting>
  <dataValidations count="15">
    <dataValidation type="date" allowBlank="1" showInputMessage="1" showErrorMessage="1" errorTitle="Brug korrekt format dd.mm.åå" promptTitle="Dato" prompt="Skriv dd.mm.åå" sqref="B40 B30 B15 B35 B25:C25 B20 B45" xr:uid="{2556C7E6-52EC-D843-A5F2-27281DEB8C4C}">
      <formula1>45292</formula1>
      <formula2>46388</formula2>
    </dataValidation>
    <dataValidation allowBlank="1" showInputMessage="1" showErrorMessage="1" promptTitle="Sluttid" prompt="Angiv sluttid tt:mm" sqref="C13" xr:uid="{1D551A4C-5237-8A49-9152-BD8F5F466488}"/>
    <dataValidation type="list" allowBlank="1" showInputMessage="1" showErrorMessage="1" promptTitle="13. time pause" prompt="Angiv om 13. time pausen blev afholdt planmæssigt, forsinket, uden servering eller ikke afholdt" sqref="S15 S25 S30 S35 S40 S20 S45" xr:uid="{315F89EC-63B4-694E-BBE9-27F46164C43E}">
      <formula1>"Planmæssigt,Forsinket,Ingen servering,Pause Ikke afholdt"</formula1>
    </dataValidation>
    <dataValidation type="list" allowBlank="1" showInputMessage="1" showErrorMessage="1" promptTitle="5. time pause" prompt="Angiv om 5. time pausen blev afholdt planmæssigt, forsinket, uden servering eller ikke afholdt" sqref="Q15 Q25 Q30 Q35 Q40 Q20 Q45" xr:uid="{2F2FE7A6-9EFC-F44B-A059-3B615A6D64A4}">
      <formula1>"Planmæssigt,Forsinket,Ingen servering,Pause Ikke afholdt"</formula1>
    </dataValidation>
    <dataValidation type="list" allowBlank="1" showInputMessage="1" showErrorMessage="1" promptTitle="10. time pause" prompt="Angiv om 10. time pausen blev afholdt planmæssigt, forsinket, uden servering eller ikke afholdt" sqref="R15 R25 R30 R35 R40 R20 R45" xr:uid="{6C8F8D7C-440D-3243-A7C1-CA4D2C12CFBF}">
      <formula1>"Planmæssigt,Forsinket,Ingen servering,Pause Ikke afholdt"</formula1>
    </dataValidation>
    <dataValidation type="list" allowBlank="1" showInputMessage="1" showErrorMessage="1" promptTitle="Rabatordning" prompt="Vælg &quot;Ingen Rabat&quot; hvis 1 optagedag. Ellers vælg Rabat A (2-4 opt.dage) eller Rabat B (≥5 opt.dage), hvis booket rettidigt" sqref="T35 T40 T20 T25 T30 T15 T45" xr:uid="{B024F510-5BE2-AF41-8C97-6EF4AE1C7C88}">
      <formula1>"Ingen rabat, Rabat A, Rabat B"</formula1>
    </dataValidation>
    <dataValidation type="list" allowBlank="1" showInputMessage="1" showErrorMessage="1" promptTitle="Helligdag?" sqref="C17 C37 C42 C22 C27 C32 C47" xr:uid="{6A61CDB9-8AFC-6442-9703-F5E527573577}">
      <formula1>"Ja,Nej"</formula1>
    </dataValidation>
    <dataValidation type="list" allowBlank="1" showInputMessage="1" showErrorMessage="1" promptTitle="Weekend tillæg" prompt="Vælg 75% hvis 1 weekend/helligdag. Vælg 100% hvis 2 sammenhængende weekend/helligdage" sqref="M15 M35 M40 M20 M25 M30 M45" xr:uid="{3885388F-C57A-6B48-8484-89B5D66D5137}">
      <formula1>"75%,100%"</formula1>
    </dataValidation>
    <dataValidation type="decimal" allowBlank="1" showInputMessage="1" showErrorMessage="1" errorTitle="Transporttid efter 10t" error="Transporttid skal angives som tal. F.eks skal 1t45min angives som 1,75" promptTitle="Transporttid efter 10t" prompt="Transporttid skal angives som tal. F.eks skal 1t45min angives som 1,75" sqref="N15:P15 N20:P20 N25:P25 N30:P30 N35:P35 N40:P40 N45:P45" xr:uid="{557C4C77-58A2-5049-9698-A5193783444A}">
      <formula1>0</formula1>
      <formula2>50</formula2>
    </dataValidation>
    <dataValidation type="list" allowBlank="1" showInputMessage="1" showErrorMessage="1" promptTitle="Diæter" prompt="Ved manglende fortæring indsæt passende diæt" sqref="V15 V40 V20 V25 V30 V35 V45" xr:uid="{CDDECD8F-C140-E046-84B6-41338B87A9C2}">
      <formula1>"Ingen diæt, Morgen, Frokost, Aften, Fuld Diæt"</formula1>
    </dataValidation>
    <dataValidation type="list" allowBlank="1" showInputMessage="1" showErrorMessage="1" promptTitle="Diæter" prompt="Ved manglende fortæring, valg passende diæt(er)" sqref="U15 U40 U20 U25 U30 U35 U45" xr:uid="{8B7AE464-E8CC-1345-9E8C-01899F847788}">
      <formula1>"Ingen diæt, Morgen,Morgen+Frokost,Frokost el. Aften,Frokost+Aften,Fuld Kost"</formula1>
    </dataValidation>
    <dataValidation type="list" allowBlank="1" showInputMessage="1" showErrorMessage="1" errorTitle="Vælg type fra Listen" promptTitle="Type" prompt="Vælg type arbejdstid" sqref="D16:E17 D21:E22 D26:E27 D31:E32 D36:E37 D41:E42 D46:E47" xr:uid="{41E58BE6-62C4-3E4C-AF0F-78889545E3AC}">
      <formula1>"Optagelse,Forbered/Afrig tid,Rejsetid,Rejsetid +50%, Fri, Sygdom"</formula1>
    </dataValidation>
    <dataValidation type="date" allowBlank="1" showInputMessage="1" errorTitle="Brug korrekt format dd.mm.åå" promptTitle="Dato" sqref="C15" xr:uid="{4605D65A-A562-5048-AD87-01E2F8E54962}">
      <formula1>45292</formula1>
      <formula2>46388</formula2>
    </dataValidation>
    <dataValidation type="date" allowBlank="1" showInputMessage="1" errorTitle="Brug korrekt format dd.mm.åå" promptTitle="Ugedag" prompt="Skriv dd.mm.åå" sqref="C20 C35 C40" xr:uid="{ED57D859-003E-DC48-95FF-D4BCC4705E38}">
      <formula1>45292</formula1>
      <formula2>46388</formula2>
    </dataValidation>
    <dataValidation type="date" allowBlank="1" showInputMessage="1" errorTitle="Brug korrekt format dd.mm.åå" promptTitle="Ugedag" sqref="C30 C45" xr:uid="{4335CD7C-CB93-804E-87B0-90C38591F2BE}">
      <formula1>45292</formula1>
      <formula2>46388</formula2>
    </dataValidation>
  </dataValidations>
  <pageMargins left="0.45" right="0.45" top="0.2" bottom="0.2" header="0.2" footer="0.2"/>
  <pageSetup paperSize="9" scale="51" orientation="landscape" horizontalDpi="0" verticalDpi="0"/>
  <headerFooter>
    <oddFooter>&amp;L&amp;"Calibri,Normal"&amp;K000000Lønberegner godkendt af FAF &amp; Producentforeningen&amp;C&amp;"Calibri,Normal"&amp;KFFFFFFCopyright: Mikkel Damkiær&amp;R&amp;"Calibri,Normal"&amp;K000000Beta version 1.35
Gælder til og med 31. dec. 2026</oddFooter>
  </headerFooter>
  <ignoredErrors>
    <ignoredError sqref="B24:B25 B29:B30 B34:B35 B39:B40 B44:B45" unlockedFormula="1"/>
    <ignoredError sqref="M23 M28 M33 M38 M43 M48" formula="1"/>
  </ignoredError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Vælg din titel eller løngruppe" xr:uid="{74D94D9B-EF47-EA4F-A0F0-DDE6255027C2}">
          <x14:formula1>
            <xm:f>Datasheet!$A$6:$A$48</xm:f>
          </x14:formula1>
          <xm:sqref>R2:W2</xm:sqref>
        </x14:dataValidation>
        <x14:dataValidation type="list" allowBlank="1" showInputMessage="1" showErrorMessage="1" errorTitle="Angiv sluttid" error="Benyt standarden tt:mm. Minuttal beregnes i intervaller af 15min. " promptTitle="Sluttid" prompt="Angiv sluttid tt:mm" xr:uid="{3BA6F0AA-14DF-EF4A-A016-740359977390}">
          <x14:formula1>
            <xm:f>Datasheet!$A$102:$A$197</xm:f>
          </x14:formula1>
          <xm:sqref>E15 E40 E20 E25 E30 E35 E45</xm:sqref>
        </x14:dataValidation>
        <x14:dataValidation type="list" allowBlank="1" showInputMessage="1" showErrorMessage="1" errorTitle="Starttid" error="Benyt standarden tt:mm. Minuttal beregnes i intervaller af 15min. " promptTitle="Mødetid" prompt="Angiv starttid tt:mm" xr:uid="{B5A5D633-4675-DD46-9335-D13AABB5C002}">
          <x14:formula1>
            <xm:f>Datasheet!$A$102:$A$197</xm:f>
          </x14:formula1>
          <xm:sqref>D15 D40 D20 D25 D30 D35 D45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Regneark</vt:lpstr>
      </vt:variant>
      <vt:variant>
        <vt:i4>2</vt:i4>
      </vt:variant>
      <vt:variant>
        <vt:lpstr>Navngivne områder</vt:lpstr>
      </vt:variant>
      <vt:variant>
        <vt:i4>2</vt:i4>
      </vt:variant>
    </vt:vector>
  </HeadingPairs>
  <TitlesOfParts>
    <vt:vector size="4" baseType="lpstr">
      <vt:lpstr>Datasheet</vt:lpstr>
      <vt:lpstr>Lønberegner</vt:lpstr>
      <vt:lpstr>grundløn</vt:lpstr>
      <vt:lpstr>Lønberegner!Udskriftsområde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Mikkel Damkiær</dc:creator>
  <cp:lastModifiedBy>Mikkel Damkiær</cp:lastModifiedBy>
  <cp:lastPrinted>2024-03-01T10:36:26Z</cp:lastPrinted>
  <dcterms:created xsi:type="dcterms:W3CDTF">2024-01-25T15:53:29Z</dcterms:created>
  <dcterms:modified xsi:type="dcterms:W3CDTF">2024-09-30T14:16:33Z</dcterms:modified>
</cp:coreProperties>
</file>